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https://sitesreservoirproject.sharepoint.com/OpsModeling/Shared Documents/Storage Policy/Storage-Based Investment/"/>
    </mc:Choice>
  </mc:AlternateContent>
  <xr:revisionPtr revIDLastSave="1771" documentId="8_{5D0DD61E-5604-4ED4-B818-60B52F4318D3}" xr6:coauthVersionLast="45" xr6:coauthVersionMax="46" xr10:uidLastSave="{F1CE3C05-9D43-4A23-9845-9C7F93B12422}"/>
  <bookViews>
    <workbookView xWindow="-110" yWindow="-110" windowWidth="19420" windowHeight="10420" activeTab="2" xr2:uid="{00000000-000D-0000-FFFF-FFFF00000000}"/>
  </bookViews>
  <sheets>
    <sheet name="Overview" sheetId="7" r:id="rId1"/>
    <sheet name="State and Fed Conversion" sheetId="8" r:id="rId2"/>
    <sheet name="Storage Allocation" sheetId="4" r:id="rId3"/>
    <sheet name="Summary" sheetId="5" r:id="rId4"/>
  </sheets>
  <calcPr calcId="191028" iterate="1" iterateCount="100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6" i="4" l="1"/>
  <c r="E36" i="4" l="1"/>
  <c r="D26" i="5" l="1"/>
  <c r="C26" i="5"/>
  <c r="B26" i="5"/>
  <c r="H10" i="4" l="1"/>
  <c r="H11" i="4"/>
  <c r="H12" i="4"/>
  <c r="H13" i="4"/>
  <c r="H14" i="4"/>
  <c r="H15" i="4"/>
  <c r="H16" i="4"/>
  <c r="H17" i="4"/>
  <c r="H36" i="4" s="1"/>
  <c r="H18" i="4"/>
  <c r="H19" i="4"/>
  <c r="H20" i="4"/>
  <c r="H21" i="4"/>
  <c r="H22" i="4"/>
  <c r="H23" i="4"/>
  <c r="H24" i="4"/>
  <c r="H25" i="4"/>
  <c r="H26" i="4"/>
  <c r="H27" i="4"/>
  <c r="H28" i="4"/>
  <c r="H29" i="4"/>
  <c r="H30" i="4"/>
  <c r="H31" i="4"/>
  <c r="H9" i="4"/>
  <c r="G10" i="4"/>
  <c r="G11" i="4"/>
  <c r="G12" i="4"/>
  <c r="G13" i="4"/>
  <c r="G14" i="4"/>
  <c r="G15" i="4"/>
  <c r="G16" i="4"/>
  <c r="G17" i="4"/>
  <c r="G18" i="4"/>
  <c r="G19" i="4"/>
  <c r="G20" i="4"/>
  <c r="G21" i="4"/>
  <c r="G22" i="4"/>
  <c r="G23" i="4"/>
  <c r="G24" i="4"/>
  <c r="G25" i="4"/>
  <c r="G26" i="4"/>
  <c r="G27" i="4"/>
  <c r="G28" i="4"/>
  <c r="G29" i="4"/>
  <c r="G30" i="4"/>
  <c r="G31" i="4"/>
  <c r="G36" i="4"/>
  <c r="G9" i="4"/>
  <c r="F10" i="4"/>
  <c r="F11" i="4"/>
  <c r="F12" i="4"/>
  <c r="F13" i="4"/>
  <c r="F14" i="4"/>
  <c r="F15" i="4"/>
  <c r="F16" i="4"/>
  <c r="F17" i="4"/>
  <c r="F18" i="4"/>
  <c r="F19" i="4"/>
  <c r="F20" i="4"/>
  <c r="F36" i="4" s="1"/>
  <c r="F21" i="4"/>
  <c r="F22" i="4"/>
  <c r="F23" i="4"/>
  <c r="F24" i="4"/>
  <c r="F25" i="4"/>
  <c r="F26" i="4"/>
  <c r="F27" i="4"/>
  <c r="F28" i="4"/>
  <c r="F29" i="4"/>
  <c r="F30" i="4"/>
  <c r="F31" i="4"/>
  <c r="F9" i="4"/>
  <c r="F34" i="4"/>
  <c r="H34" i="4"/>
  <c r="G34" i="4"/>
  <c r="E34" i="4"/>
  <c r="H33" i="4"/>
  <c r="G33" i="4"/>
  <c r="F33" i="4"/>
  <c r="H32" i="4"/>
  <c r="G32" i="4"/>
  <c r="F32" i="4"/>
  <c r="C12" i="8"/>
  <c r="C10" i="8"/>
  <c r="C8" i="8"/>
  <c r="E32" i="4"/>
  <c r="E33" i="4"/>
  <c r="F23" i="8"/>
  <c r="D27" i="5" l="1"/>
  <c r="D4" i="5"/>
  <c r="D5" i="5"/>
  <c r="D6" i="5"/>
  <c r="D7" i="5"/>
  <c r="D8" i="5"/>
  <c r="D9" i="5"/>
  <c r="D10" i="5"/>
  <c r="D11" i="5"/>
  <c r="D12" i="5"/>
  <c r="D13" i="5"/>
  <c r="D14" i="5"/>
  <c r="D15" i="5"/>
  <c r="D16" i="5"/>
  <c r="D17" i="5"/>
  <c r="D18" i="5"/>
  <c r="D19" i="5"/>
  <c r="D20" i="5"/>
  <c r="D21" i="5"/>
  <c r="D22" i="5"/>
  <c r="D23" i="5"/>
  <c r="D24" i="5"/>
  <c r="D25" i="5"/>
  <c r="D3" i="5"/>
  <c r="D28" i="5" l="1"/>
  <c r="F35" i="4"/>
  <c r="G35" i="4" s="1"/>
  <c r="H35" i="4" s="1"/>
  <c r="B36" i="4"/>
  <c r="D9" i="4" s="1"/>
  <c r="B6" i="4"/>
  <c r="E35" i="4" l="1"/>
  <c r="C27" i="5" s="1"/>
  <c r="C9" i="4"/>
  <c r="E9" i="4" l="1"/>
  <c r="C3" i="5" s="1"/>
  <c r="B3" i="5"/>
  <c r="C11" i="8"/>
  <c r="C9" i="8"/>
  <c r="D26" i="4" l="1"/>
  <c r="C26" i="4" l="1"/>
  <c r="D11" i="4"/>
  <c r="D19" i="4"/>
  <c r="D27" i="4"/>
  <c r="D14" i="4"/>
  <c r="D22" i="4"/>
  <c r="D23" i="4"/>
  <c r="D24" i="4"/>
  <c r="D17" i="4"/>
  <c r="D10" i="4"/>
  <c r="D12" i="4"/>
  <c r="D20" i="4"/>
  <c r="D28" i="4"/>
  <c r="D30" i="4"/>
  <c r="D13" i="4"/>
  <c r="D21" i="4"/>
  <c r="D29" i="4"/>
  <c r="D15" i="4"/>
  <c r="D16" i="4"/>
  <c r="D25" i="4"/>
  <c r="D18" i="4"/>
  <c r="D31" i="4"/>
  <c r="E26" i="4" l="1"/>
  <c r="C20" i="5" s="1"/>
  <c r="B20" i="5"/>
  <c r="D36" i="4"/>
  <c r="C18" i="4"/>
  <c r="C13" i="4"/>
  <c r="C31" i="4"/>
  <c r="C30" i="4"/>
  <c r="C28" i="4"/>
  <c r="C27" i="4"/>
  <c r="C11" i="4"/>
  <c r="C14" i="4"/>
  <c r="C16" i="4"/>
  <c r="C15" i="4"/>
  <c r="C17" i="4"/>
  <c r="C23" i="4"/>
  <c r="C22" i="4"/>
  <c r="C25" i="4"/>
  <c r="C20" i="4"/>
  <c r="C12" i="4"/>
  <c r="C19" i="4"/>
  <c r="C10" i="4"/>
  <c r="C29" i="4"/>
  <c r="C21" i="4"/>
  <c r="C24" i="4"/>
  <c r="B4" i="5" l="1"/>
  <c r="E24" i="4"/>
  <c r="C18" i="5" s="1"/>
  <c r="B18" i="5"/>
  <c r="E21" i="4"/>
  <c r="C15" i="5" s="1"/>
  <c r="B15" i="5"/>
  <c r="E29" i="4"/>
  <c r="C23" i="5" s="1"/>
  <c r="B23" i="5"/>
  <c r="E19" i="4"/>
  <c r="C13" i="5" s="1"/>
  <c r="B13" i="5"/>
  <c r="E12" i="4"/>
  <c r="C6" i="5" s="1"/>
  <c r="B6" i="5"/>
  <c r="E20" i="4"/>
  <c r="C14" i="5" s="1"/>
  <c r="B14" i="5"/>
  <c r="E25" i="4"/>
  <c r="C19" i="5" s="1"/>
  <c r="B19" i="5"/>
  <c r="E22" i="4"/>
  <c r="C16" i="5" s="1"/>
  <c r="B16" i="5"/>
  <c r="E23" i="4"/>
  <c r="C17" i="5" s="1"/>
  <c r="B17" i="5"/>
  <c r="E17" i="4"/>
  <c r="C11" i="5" s="1"/>
  <c r="B11" i="5"/>
  <c r="E15" i="4"/>
  <c r="C9" i="5" s="1"/>
  <c r="B9" i="5"/>
  <c r="E16" i="4"/>
  <c r="C10" i="5" s="1"/>
  <c r="B10" i="5"/>
  <c r="E14" i="4"/>
  <c r="C8" i="5" s="1"/>
  <c r="B8" i="5"/>
  <c r="E11" i="4"/>
  <c r="C5" i="5" s="1"/>
  <c r="B5" i="5"/>
  <c r="E27" i="4"/>
  <c r="C21" i="5" s="1"/>
  <c r="B21" i="5"/>
  <c r="E28" i="4"/>
  <c r="C22" i="5" s="1"/>
  <c r="B22" i="5"/>
  <c r="E30" i="4"/>
  <c r="C24" i="5" s="1"/>
  <c r="B24" i="5"/>
  <c r="E31" i="4"/>
  <c r="C25" i="5" s="1"/>
  <c r="B25" i="5"/>
  <c r="E13" i="4"/>
  <c r="C7" i="5" s="1"/>
  <c r="B7" i="5"/>
  <c r="E18" i="4"/>
  <c r="C12" i="5" s="1"/>
  <c r="B12" i="5"/>
  <c r="E10" i="4"/>
  <c r="C4" i="5" l="1"/>
  <c r="C28" i="5" s="1"/>
  <c r="B28" i="5" l="1"/>
</calcChain>
</file>

<file path=xl/sharedStrings.xml><?xml version="1.0" encoding="utf-8"?>
<sst xmlns="http://schemas.openxmlformats.org/spreadsheetml/2006/main" count="104" uniqueCount="77">
  <si>
    <t>State Conversion</t>
  </si>
  <si>
    <t>State is presumed to require the amount of storage needed to achieve WSIP benefits.</t>
  </si>
  <si>
    <t>Latest modeling shows that 244 TAF will achieve State benefits.</t>
  </si>
  <si>
    <t>Likely less storage is needed than 244 for State benefits - currently being evaluated.</t>
  </si>
  <si>
    <t>Total State investment ($M):</t>
  </si>
  <si>
    <t>Percent of project (based on VP cost estimate):</t>
  </si>
  <si>
    <t xml:space="preserve">State investment towards storage ($M): </t>
  </si>
  <si>
    <t>Percent of storage assumed (1.5 MAF reservoir):</t>
  </si>
  <si>
    <t>Assumes State receives only the amount of storage required to meet Prop 1 benefits.</t>
  </si>
  <si>
    <t>the State's storage would increase above what is needed to meet Prop 1 benefits.</t>
  </si>
  <si>
    <t>Federal Conversion</t>
  </si>
  <si>
    <t>Reclamation assumed to get percent of storage as percent of cost-share partner.</t>
  </si>
  <si>
    <t>Assumed Reclamation provides 6.6% funding</t>
  </si>
  <si>
    <t xml:space="preserve">Reclamation receives 6.6% of reservoir: </t>
  </si>
  <si>
    <t>TAF</t>
  </si>
  <si>
    <t>Assumes storage not specifically allocated to State and Federal purposes is allocated to local investors proportional to level of investment.</t>
  </si>
  <si>
    <t>Reservoir Size:</t>
  </si>
  <si>
    <t>AF</t>
  </si>
  <si>
    <t>Dead Pool:</t>
  </si>
  <si>
    <t>Active Storage:</t>
  </si>
  <si>
    <t>Check State &amp; Federal Receiving no greater % storage than % Funding, local participants receiving no less % storage than % funding</t>
  </si>
  <si>
    <t>Participant Name</t>
  </si>
  <si>
    <t>2021 Participation Level</t>
  </si>
  <si>
    <t>Estimated Storage 
Capacity (AF)
1.5 MAF Reservoir</t>
  </si>
  <si>
    <t>% Local Participation</t>
  </si>
  <si>
    <t>% Total Active Storage</t>
  </si>
  <si>
    <t>Antelope Valley-East Kern WA</t>
  </si>
  <si>
    <t>Green = % capital cost for local participants less than % total active storage</t>
  </si>
  <si>
    <t>Carter MWC</t>
  </si>
  <si>
    <t>Red = % capital cost for local participants greater than % total active storage</t>
  </si>
  <si>
    <t>City of American Canyon</t>
  </si>
  <si>
    <t>Coachella Valley WD</t>
  </si>
  <si>
    <t>Colusa County</t>
  </si>
  <si>
    <t>Colusa County WD</t>
  </si>
  <si>
    <t>Cortina WD</t>
  </si>
  <si>
    <t>Davis WD</t>
  </si>
  <si>
    <t>Desert WA</t>
  </si>
  <si>
    <t>Dunnigan WD</t>
  </si>
  <si>
    <t>Glenn-Colusa ID</t>
  </si>
  <si>
    <t>Irvine Ranch WD</t>
  </si>
  <si>
    <t>LaGrande WD</t>
  </si>
  <si>
    <t>Metropolitan Water District of SC</t>
  </si>
  <si>
    <t>Reclamation District 108</t>
  </si>
  <si>
    <t>Rosedale-Rio Bravo WD</t>
  </si>
  <si>
    <t>San Bernardino Valley Municipal WD</t>
  </si>
  <si>
    <t>San Gorgonio Pass WA</t>
  </si>
  <si>
    <t>Santa Clara Valley WD</t>
  </si>
  <si>
    <t>Santa Clarita Valley WA</t>
  </si>
  <si>
    <t>Westside WD</t>
  </si>
  <si>
    <t>Wheeler Ridge - Maricopa WSD</t>
  </si>
  <si>
    <t>Zone 7 WA</t>
  </si>
  <si>
    <t>State of California</t>
  </si>
  <si>
    <t>&lt;-Assumes additional capital cost associated with additional participation ramps up with increase in capital cost.</t>
  </si>
  <si>
    <t>Subtotal</t>
  </si>
  <si>
    <t>Storage (AF)</t>
  </si>
  <si>
    <t>% Cost Share (based on VP cost estimate)</t>
  </si>
  <si>
    <t>Total</t>
  </si>
  <si>
    <t>% Capital Cost
3.037B Project</t>
  </si>
  <si>
    <t>% Capital Cost
4.0B Project</t>
  </si>
  <si>
    <t>% Capital Cost
5.0B Project</t>
  </si>
  <si>
    <t>**Reclamation is assumed not to be a beneficiary of WSIP funding. Should be revisited if local participants "subsidize" state (e.g. column H)</t>
  </si>
  <si>
    <t>Reclamation**</t>
  </si>
  <si>
    <t>Additional Participation**</t>
  </si>
  <si>
    <t>**Reclamation is assumed not to be a beneficiary of WSIP funding. If additional participation is not federal, WSIP funding benefits would be shared with new participant similar to other local participants.</t>
  </si>
  <si>
    <t>% Active Storage</t>
  </si>
  <si>
    <t>If the State receives storage as a proportion of releases (similar to local participants)</t>
  </si>
  <si>
    <t>ensure local participants are not subsidizing State or Federal investment.</t>
  </si>
  <si>
    <r>
      <rPr>
        <b/>
        <sz val="11"/>
        <rFont val="Calibri"/>
        <family val="2"/>
      </rPr>
      <t xml:space="preserve">Note: </t>
    </r>
    <r>
      <rPr>
        <sz val="11"/>
        <rFont val="Calibri"/>
        <family val="2"/>
      </rPr>
      <t xml:space="preserve">for both State and Federal participation, need to regularly "true-up" costs vs. storage to </t>
    </r>
  </si>
  <si>
    <t>State of California - Ecosystem Benefit*</t>
  </si>
  <si>
    <t>State of California - Recreation and Flood Control</t>
  </si>
  <si>
    <t>State of California - Total</t>
  </si>
  <si>
    <t>$200M Federal Participation</t>
  </si>
  <si>
    <t>$264M Federal Participation</t>
  </si>
  <si>
    <t>$330M Federal Participation</t>
  </si>
  <si>
    <t>*State's storage assumed to be limited to amount required to receive WSIP benefit</t>
  </si>
  <si>
    <t>Option 1 - Recommended</t>
  </si>
  <si>
    <t>Option 1 (Recommended)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</si>
</sst>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quot;$&quot;#,##0.0_);[Red]\(&quot;$&quot;#,##0.0\)"/>
  </numFmts>
  <fonts count="5" x14ac:knownFonts="1">
    <font>
      <sz val="11"/>
      <name val="Calibri"/>
    </font>
    <font>
      <sz val="11"/>
      <color theme="1"/>
      <name val="Calibri"/>
      <family val="2"/>
      <scheme val="minor"/>
    </font>
    <font>
      <b/>
      <sz val="11"/>
      <name val="Calibri"/>
      <family val="2"/>
    </font>
    <font>
      <sz val="11"/>
      <name val="Calibri"/>
      <family val="2"/>
    </font>
    <font>
      <sz val="10"/>
      <color rgb="FF000000"/>
      <name val="Times New Roman"/>
      <family val="1"/>
    </font>
  </fonts>
  <fills count="9">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9797"/>
        <bgColor indexed="64"/>
      </patternFill>
    </fill>
    <fill>
      <patternFill patternType="solid">
        <fgColor theme="2"/>
        <bgColor indexed="64"/>
      </patternFill>
    </fill>
    <fill>
      <patternFill patternType="solid">
        <fgColor theme="0" tint="-4.9989318521683403E-2"/>
        <bgColor indexed="64"/>
      </patternFill>
    </fill>
  </fills>
  <borders count="29">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double">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style="medium">
        <color auto="1"/>
      </left>
      <right/>
      <top/>
      <bottom style="double">
        <color auto="1"/>
      </bottom>
      <diagonal/>
    </border>
    <border>
      <left/>
      <right style="medium">
        <color auto="1"/>
      </right>
      <top/>
      <bottom style="double">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style="double">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diagonal/>
    </border>
  </borders>
  <cellStyleXfs count="5">
    <xf numFmtId="0" fontId="0" fillId="0" borderId="0"/>
    <xf numFmtId="4" fontId="3" fillId="0" borderId="0"/>
    <xf numFmtId="9" fontId="3" fillId="0" borderId="0" applyFont="0" applyFill="0" applyBorder="0" applyAlignment="0" applyProtection="0"/>
    <xf numFmtId="0" fontId="1" fillId="0" borderId="0"/>
    <xf numFmtId="0" fontId="4" fillId="0" borderId="0"/>
  </cellStyleXfs>
  <cellXfs count="84">
    <xf numFmtId="0" fontId="0" fillId="0" borderId="0" xfId="0"/>
    <xf numFmtId="0" fontId="3" fillId="0" borderId="0" xfId="1" applyNumberFormat="1"/>
    <xf numFmtId="0" fontId="2" fillId="0" borderId="0" xfId="1" applyNumberFormat="1" applyFont="1"/>
    <xf numFmtId="0" fontId="2" fillId="0" borderId="0" xfId="1" applyNumberFormat="1" applyFont="1" applyAlignment="1">
      <alignment horizontal="center" wrapText="1"/>
    </xf>
    <xf numFmtId="0" fontId="3" fillId="0" borderId="0" xfId="1" applyNumberFormat="1" applyFill="1"/>
    <xf numFmtId="1" fontId="0" fillId="0" borderId="0" xfId="0" applyNumberFormat="1"/>
    <xf numFmtId="0" fontId="2" fillId="0" borderId="0" xfId="0" applyFont="1"/>
    <xf numFmtId="0" fontId="3" fillId="0" borderId="0" xfId="0" applyFont="1"/>
    <xf numFmtId="9" fontId="0" fillId="0" borderId="0" xfId="2" applyFont="1"/>
    <xf numFmtId="0" fontId="2" fillId="0" borderId="0" xfId="0" applyFont="1" applyBorder="1"/>
    <xf numFmtId="3" fontId="0" fillId="0" borderId="0" xfId="0" applyNumberFormat="1" applyBorder="1"/>
    <xf numFmtId="0" fontId="3" fillId="0" borderId="0" xfId="0" applyFont="1" applyBorder="1"/>
    <xf numFmtId="0" fontId="2" fillId="0" borderId="7" xfId="0" applyFont="1" applyBorder="1"/>
    <xf numFmtId="0" fontId="3" fillId="0" borderId="7" xfId="0" applyFont="1" applyBorder="1"/>
    <xf numFmtId="3" fontId="0" fillId="0" borderId="7" xfId="0" applyNumberFormat="1" applyBorder="1"/>
    <xf numFmtId="0" fontId="2" fillId="2" borderId="4" xfId="0" applyFont="1" applyFill="1" applyBorder="1" applyAlignment="1">
      <alignment wrapText="1"/>
    </xf>
    <xf numFmtId="0" fontId="3" fillId="0" borderId="0" xfId="1" applyNumberFormat="1" applyBorder="1"/>
    <xf numFmtId="0" fontId="2" fillId="0" borderId="0" xfId="0" applyFont="1" applyAlignment="1">
      <alignment horizontal="center" wrapText="1"/>
    </xf>
    <xf numFmtId="0" fontId="3" fillId="5" borderId="0" xfId="0" applyFont="1" applyFill="1"/>
    <xf numFmtId="0" fontId="0" fillId="5" borderId="0" xfId="0" applyFill="1"/>
    <xf numFmtId="0" fontId="3" fillId="6" borderId="0" xfId="0" applyFont="1" applyFill="1"/>
    <xf numFmtId="0" fontId="0" fillId="6" borderId="0" xfId="0" applyFill="1"/>
    <xf numFmtId="0" fontId="2" fillId="0" borderId="16" xfId="1" applyNumberFormat="1" applyFont="1" applyFill="1" applyBorder="1"/>
    <xf numFmtId="3" fontId="3" fillId="0" borderId="0" xfId="1" applyNumberFormat="1" applyAlignment="1">
      <alignment horizontal="center"/>
    </xf>
    <xf numFmtId="164" fontId="0" fillId="0" borderId="0" xfId="2" applyNumberFormat="1" applyFont="1" applyAlignment="1">
      <alignment horizontal="center"/>
    </xf>
    <xf numFmtId="164" fontId="0" fillId="0" borderId="11" xfId="2" applyNumberFormat="1" applyFont="1" applyBorder="1" applyAlignment="1">
      <alignment horizontal="center"/>
    </xf>
    <xf numFmtId="164" fontId="0" fillId="0" borderId="0" xfId="2" applyNumberFormat="1" applyFont="1" applyBorder="1" applyAlignment="1">
      <alignment horizontal="center"/>
    </xf>
    <xf numFmtId="164" fontId="0" fillId="0" borderId="12" xfId="2" applyNumberFormat="1" applyFont="1" applyBorder="1" applyAlignment="1">
      <alignment horizontal="center"/>
    </xf>
    <xf numFmtId="3" fontId="3" fillId="0" borderId="0" xfId="1" applyNumberFormat="1" applyBorder="1" applyAlignment="1">
      <alignment horizontal="center"/>
    </xf>
    <xf numFmtId="9" fontId="0" fillId="0" borderId="12" xfId="2" applyFont="1" applyBorder="1" applyAlignment="1">
      <alignment horizontal="center"/>
    </xf>
    <xf numFmtId="3" fontId="3" fillId="0" borderId="16" xfId="1" applyNumberFormat="1" applyBorder="1" applyAlignment="1">
      <alignment horizontal="center"/>
    </xf>
    <xf numFmtId="9" fontId="3" fillId="0" borderId="16" xfId="2" applyBorder="1" applyAlignment="1">
      <alignment horizontal="center"/>
    </xf>
    <xf numFmtId="164" fontId="0" fillId="0" borderId="16" xfId="0" applyNumberFormat="1" applyBorder="1" applyAlignment="1">
      <alignment horizontal="center"/>
    </xf>
    <xf numFmtId="0" fontId="2" fillId="0" borderId="0" xfId="1" applyNumberFormat="1" applyFont="1" applyAlignment="1">
      <alignment horizontal="center"/>
    </xf>
    <xf numFmtId="0" fontId="2" fillId="0" borderId="0" xfId="1" applyNumberFormat="1" applyFont="1" applyFill="1" applyAlignment="1">
      <alignment wrapText="1"/>
    </xf>
    <xf numFmtId="164" fontId="0" fillId="0" borderId="19" xfId="2" applyNumberFormat="1" applyFont="1" applyBorder="1" applyAlignment="1">
      <alignment horizontal="center"/>
    </xf>
    <xf numFmtId="164" fontId="0" fillId="0" borderId="7" xfId="2" applyNumberFormat="1" applyFont="1" applyBorder="1" applyAlignment="1">
      <alignment horizontal="center"/>
    </xf>
    <xf numFmtId="164" fontId="0" fillId="0" borderId="20" xfId="2" applyNumberFormat="1" applyFont="1" applyBorder="1" applyAlignment="1">
      <alignment horizontal="center"/>
    </xf>
    <xf numFmtId="0" fontId="0" fillId="0" borderId="21" xfId="0" applyBorder="1"/>
    <xf numFmtId="0" fontId="2" fillId="2" borderId="22" xfId="1" applyNumberFormat="1" applyFont="1" applyFill="1" applyBorder="1"/>
    <xf numFmtId="0" fontId="3" fillId="0" borderId="22" xfId="1" applyNumberFormat="1" applyBorder="1"/>
    <xf numFmtId="0" fontId="3" fillId="0" borderId="23" xfId="1" applyNumberFormat="1" applyBorder="1"/>
    <xf numFmtId="0" fontId="3" fillId="0" borderId="23" xfId="1" applyNumberFormat="1" applyFill="1" applyBorder="1"/>
    <xf numFmtId="0" fontId="2" fillId="0" borderId="17" xfId="0" applyFont="1" applyBorder="1"/>
    <xf numFmtId="0" fontId="2" fillId="2" borderId="3" xfId="0" applyFont="1" applyFill="1" applyBorder="1"/>
    <xf numFmtId="3" fontId="3" fillId="3" borderId="3" xfId="1" applyNumberFormat="1" applyFill="1" applyBorder="1" applyAlignment="1">
      <alignment horizontal="right"/>
    </xf>
    <xf numFmtId="164" fontId="3" fillId="7" borderId="4" xfId="2" applyNumberFormat="1" applyFill="1" applyBorder="1" applyAlignment="1">
      <alignment horizontal="right"/>
    </xf>
    <xf numFmtId="3" fontId="3" fillId="3" borderId="5" xfId="1" applyNumberFormat="1" applyFill="1" applyBorder="1" applyAlignment="1">
      <alignment horizontal="right"/>
    </xf>
    <xf numFmtId="164" fontId="3" fillId="7" borderId="24" xfId="2" applyNumberFormat="1" applyFill="1" applyBorder="1" applyAlignment="1">
      <alignment horizontal="right"/>
    </xf>
    <xf numFmtId="164" fontId="0" fillId="7" borderId="24" xfId="2" applyNumberFormat="1" applyFont="1" applyFill="1" applyBorder="1"/>
    <xf numFmtId="3" fontId="0" fillId="3" borderId="6" xfId="0" applyNumberFormat="1" applyFill="1" applyBorder="1"/>
    <xf numFmtId="9" fontId="0" fillId="8" borderId="25" xfId="2" applyFont="1" applyFill="1" applyBorder="1"/>
    <xf numFmtId="3" fontId="0" fillId="3" borderId="5" xfId="0" applyNumberFormat="1" applyFill="1" applyBorder="1"/>
    <xf numFmtId="3" fontId="3" fillId="0" borderId="0" xfId="1" applyNumberFormat="1" applyFill="1" applyAlignment="1">
      <alignment horizontal="right"/>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164" fontId="3" fillId="4" borderId="27" xfId="2" applyNumberFormat="1" applyFill="1" applyBorder="1" applyAlignment="1">
      <alignment horizontal="right"/>
    </xf>
    <xf numFmtId="9" fontId="3" fillId="4" borderId="28" xfId="2" applyFill="1" applyBorder="1" applyAlignment="1">
      <alignment horizontal="right"/>
    </xf>
    <xf numFmtId="164" fontId="0" fillId="4" borderId="28" xfId="2" applyNumberFormat="1" applyFont="1" applyFill="1" applyBorder="1"/>
    <xf numFmtId="9" fontId="0" fillId="4" borderId="18" xfId="2" applyFont="1" applyFill="1" applyBorder="1"/>
    <xf numFmtId="0" fontId="2" fillId="2" borderId="27" xfId="0" applyFont="1" applyFill="1" applyBorder="1" applyAlignment="1">
      <alignment horizontal="center" wrapText="1"/>
    </xf>
    <xf numFmtId="165" fontId="0" fillId="0" borderId="0" xfId="0" applyNumberFormat="1"/>
    <xf numFmtId="0" fontId="3" fillId="7" borderId="0" xfId="1" applyNumberFormat="1" applyFill="1" applyBorder="1"/>
    <xf numFmtId="3" fontId="3" fillId="7" borderId="0" xfId="1" applyNumberFormat="1" applyFill="1" applyBorder="1" applyAlignment="1">
      <alignment horizontal="center"/>
    </xf>
    <xf numFmtId="3" fontId="3" fillId="7" borderId="0" xfId="1" applyNumberFormat="1" applyFill="1" applyAlignment="1">
      <alignment horizontal="center"/>
    </xf>
    <xf numFmtId="164" fontId="0" fillId="7" borderId="0" xfId="2" applyNumberFormat="1" applyFont="1" applyFill="1" applyAlignment="1">
      <alignment horizontal="center"/>
    </xf>
    <xf numFmtId="164" fontId="0" fillId="7" borderId="11" xfId="2" applyNumberFormat="1" applyFont="1" applyFill="1" applyBorder="1" applyAlignment="1">
      <alignment horizontal="center"/>
    </xf>
    <xf numFmtId="164" fontId="0" fillId="7" borderId="0" xfId="2" applyNumberFormat="1" applyFont="1" applyFill="1" applyBorder="1" applyAlignment="1">
      <alignment horizontal="center"/>
    </xf>
    <xf numFmtId="9" fontId="0" fillId="7" borderId="12" xfId="2" applyFont="1" applyFill="1" applyBorder="1" applyAlignment="1">
      <alignment horizontal="center"/>
    </xf>
    <xf numFmtId="9" fontId="0" fillId="0" borderId="0" xfId="2" applyFont="1" applyBorder="1"/>
    <xf numFmtId="0" fontId="3" fillId="0" borderId="0" xfId="0" applyFont="1" applyAlignment="1">
      <alignment horizont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4" borderId="1" xfId="0" applyFont="1" applyFill="1" applyBorder="1" applyAlignment="1">
      <alignment horizontal="center"/>
    </xf>
    <xf numFmtId="0" fontId="2" fillId="4" borderId="26" xfId="0" applyFont="1" applyFill="1" applyBorder="1" applyAlignment="1">
      <alignment horizontal="center"/>
    </xf>
    <xf numFmtId="0" fontId="2" fillId="4" borderId="2" xfId="0" applyFont="1" applyFill="1" applyBorder="1" applyAlignment="1">
      <alignment horizontal="center"/>
    </xf>
    <xf numFmtId="0" fontId="2" fillId="0" borderId="0" xfId="1" applyNumberFormat="1" applyFont="1" applyFill="1" applyAlignment="1">
      <alignment horizontal="left" wrapText="1"/>
    </xf>
    <xf numFmtId="0" fontId="3" fillId="0" borderId="0" xfId="0" applyFont="1" applyFill="1"/>
    <xf numFmtId="6" fontId="0" fillId="0" borderId="0" xfId="0" applyNumberFormat="1" applyFill="1"/>
  </cellXfs>
  <cellStyles count="5">
    <cellStyle name="Comma" xfId="1" builtinId="3"/>
    <cellStyle name="Normal" xfId="0" builtinId="0"/>
    <cellStyle name="Normal 2" xfId="3" xr:uid="{8E3CAB67-1393-4483-A50E-2B1B49275755}"/>
    <cellStyle name="Normal 3" xfId="4" xr:uid="{D7288D20-2C0A-4E9E-87AA-88BF2E7D2E00}"/>
    <cellStyle name="Percent" xfId="2" builtinId="5"/>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70AD47"/>
      <rgbColor rgb="00000000"/>
      <rgbColor rgb="00FFFFFF"/>
      <rgbColor rgb="00FFFF90"/>
      <rgbColor rgb="0000FF00"/>
      <rgbColor rgb="000000FF"/>
      <rgbColor rgb="0000FFFF"/>
      <rgbColor rgb="00FF00FF"/>
      <rgbColor rgb="00FFFF00"/>
      <rgbColor rgb="00800080"/>
      <rgbColor rgb="00008000"/>
      <rgbColor rgb="00808000"/>
      <rgbColor rgb="00000080"/>
      <rgbColor rgb="00800000"/>
      <rgbColor rgb="00008080"/>
      <rgbColor rgb="00FFFFFF"/>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FFFFFF"/>
      <rgbColor rgb="00FFFFFF"/>
      <rgbColor rgb="00FFFFFF"/>
      <rgbColor rgb="00804040"/>
      <rgbColor rgb="00200000"/>
      <rgbColor rgb="00400000"/>
      <rgbColor rgb="00600000"/>
      <rgbColor rgb="00800000"/>
      <rgbColor rgb="009F0000"/>
      <rgbColor rgb="00BF0000"/>
      <rgbColor rgb="00DF0000"/>
    </indexedColors>
    <mruColors>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1</xdr:rowOff>
    </xdr:from>
    <xdr:to>
      <xdr:col>8</xdr:col>
      <xdr:colOff>577850</xdr:colOff>
      <xdr:row>21</xdr:row>
      <xdr:rowOff>98137</xdr:rowOff>
    </xdr:to>
    <xdr:sp macro="" textlink="">
      <xdr:nvSpPr>
        <xdr:cNvPr id="2" name="TextBox 1">
          <a:extLst>
            <a:ext uri="{FF2B5EF4-FFF2-40B4-BE49-F238E27FC236}">
              <a16:creationId xmlns:a16="http://schemas.microsoft.com/office/drawing/2014/main" id="{8FEFA17C-1DB3-4706-8789-52230B26D062}"/>
            </a:ext>
          </a:extLst>
        </xdr:cNvPr>
        <xdr:cNvSpPr txBox="1"/>
      </xdr:nvSpPr>
      <xdr:spPr>
        <a:xfrm>
          <a:off x="624609" y="184728"/>
          <a:ext cx="4848514" cy="37926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Explanation of Storage Allocation</a:t>
          </a:r>
          <a:endParaRPr lang="en-US" sz="1100" b="1" baseline="0"/>
        </a:p>
        <a:p>
          <a:endParaRPr lang="en-US" sz="1100" baseline="0"/>
        </a:p>
        <a:p>
          <a:r>
            <a:rPr lang="en-US" sz="1100" baseline="0"/>
            <a:t>This spreadsheet outlines the proposed method for allocating Sites Reservoir sotrage. The table includes estimated storage per participant and approximate capital cost per participant. The costs are assigned based on allocated storage. Therefore, participants assigned relatively less storage are also assumed to pay less. The allocation assumes 244 TAF and $816M for the State of California (see State and Federal Conversion tab). The option with federal investment assumes 91 TAF.</a:t>
          </a:r>
        </a:p>
        <a:p>
          <a:endParaRPr lang="en-US" sz="1100" baseline="0"/>
        </a:p>
        <a:p>
          <a:r>
            <a:rPr lang="en-US" sz="1100" b="0" baseline="0"/>
            <a:t>The v</a:t>
          </a:r>
          <a:r>
            <a:rPr lang="en-US" sz="1100" baseline="0"/>
            <a:t>olumes assumed for the State and Reclamation are removed from active storage. Remaining storage is allocated to participants proportional to Amendment 2 participation levels.</a:t>
          </a:r>
        </a:p>
        <a:p>
          <a:endParaRPr lang="en-US" sz="1100" baseline="0"/>
        </a:p>
        <a:p>
          <a:r>
            <a:rPr lang="en-US" sz="1100" b="1" baseline="0"/>
            <a:t>Notes: </a:t>
          </a:r>
          <a:r>
            <a:rPr lang="en-US" sz="1100" b="0" baseline="0"/>
            <a:t>Dead storage is presumed to be 120 acre feet. Some dead storage may be able to be used in certain year-types but is not presumed to be included in participant storage accounts.</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B971-DC6F-4ACE-B29A-8E1BD10B7063}">
  <dimension ref="K7"/>
  <sheetViews>
    <sheetView zoomScale="110" zoomScaleNormal="110" workbookViewId="0">
      <selection activeCell="K20" sqref="K20"/>
    </sheetView>
  </sheetViews>
  <sheetFormatPr defaultRowHeight="14.5" x14ac:dyDescent="0.35"/>
  <cols>
    <col min="10" max="10" width="12.7265625" customWidth="1"/>
  </cols>
  <sheetData>
    <row r="7" spans="11:11" x14ac:dyDescent="0.35">
      <c r="K7"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84FED-4420-44CC-AE97-14F79BFDA25C}">
  <dimension ref="B2:G27"/>
  <sheetViews>
    <sheetView zoomScale="120" zoomScaleNormal="120" workbookViewId="0">
      <selection activeCell="F11" sqref="F11"/>
    </sheetView>
  </sheetViews>
  <sheetFormatPr defaultRowHeight="14.5" x14ac:dyDescent="0.35"/>
  <cols>
    <col min="2" max="2" width="42.453125" customWidth="1"/>
  </cols>
  <sheetData>
    <row r="2" spans="2:4" x14ac:dyDescent="0.35">
      <c r="B2" s="6" t="s">
        <v>0</v>
      </c>
    </row>
    <row r="4" spans="2:4" x14ac:dyDescent="0.35">
      <c r="B4" s="7" t="s">
        <v>1</v>
      </c>
    </row>
    <row r="5" spans="2:4" x14ac:dyDescent="0.35">
      <c r="B5" s="7" t="s">
        <v>2</v>
      </c>
    </row>
    <row r="6" spans="2:4" x14ac:dyDescent="0.35">
      <c r="B6" s="7" t="s">
        <v>3</v>
      </c>
    </row>
    <row r="8" spans="2:4" x14ac:dyDescent="0.35">
      <c r="B8" s="82" t="s">
        <v>4</v>
      </c>
      <c r="C8" s="83">
        <f>816+20.4</f>
        <v>836.4</v>
      </c>
    </row>
    <row r="9" spans="2:4" x14ac:dyDescent="0.35">
      <c r="B9" s="7" t="s">
        <v>5</v>
      </c>
      <c r="C9" s="8">
        <f>C8/3037</f>
        <v>0.27540335857754361</v>
      </c>
    </row>
    <row r="10" spans="2:4" x14ac:dyDescent="0.35">
      <c r="B10" s="82" t="s">
        <v>6</v>
      </c>
      <c r="C10" s="83">
        <f>574*1.025</f>
        <v>588.34999999999991</v>
      </c>
      <c r="D10" s="62"/>
    </row>
    <row r="11" spans="2:4" x14ac:dyDescent="0.35">
      <c r="B11" s="7" t="s">
        <v>5</v>
      </c>
      <c r="C11" s="8">
        <f>C10/3037</f>
        <v>0.19372736252881129</v>
      </c>
    </row>
    <row r="12" spans="2:4" x14ac:dyDescent="0.35">
      <c r="B12" s="7" t="s">
        <v>7</v>
      </c>
      <c r="C12" s="8">
        <f>244/(1500-120)</f>
        <v>0.17681159420289855</v>
      </c>
    </row>
    <row r="14" spans="2:4" x14ac:dyDescent="0.35">
      <c r="B14" s="6" t="s">
        <v>8</v>
      </c>
    </row>
    <row r="15" spans="2:4" x14ac:dyDescent="0.35">
      <c r="B15" s="6" t="s">
        <v>65</v>
      </c>
    </row>
    <row r="16" spans="2:4" x14ac:dyDescent="0.35">
      <c r="B16" s="6" t="s">
        <v>9</v>
      </c>
    </row>
    <row r="19" spans="2:7" x14ac:dyDescent="0.35">
      <c r="B19" s="6" t="s">
        <v>10</v>
      </c>
    </row>
    <row r="21" spans="2:7" x14ac:dyDescent="0.35">
      <c r="B21" s="7" t="s">
        <v>11</v>
      </c>
    </row>
    <row r="22" spans="2:7" x14ac:dyDescent="0.35">
      <c r="B22" s="7" t="s">
        <v>12</v>
      </c>
    </row>
    <row r="23" spans="2:7" x14ac:dyDescent="0.35">
      <c r="B23" s="7" t="s">
        <v>13</v>
      </c>
      <c r="F23" s="5">
        <f>(1500-120)*0.066</f>
        <v>91.08</v>
      </c>
      <c r="G23" s="7" t="s">
        <v>14</v>
      </c>
    </row>
    <row r="26" spans="2:7" x14ac:dyDescent="0.35">
      <c r="B26" s="7" t="s">
        <v>67</v>
      </c>
    </row>
    <row r="27" spans="2:7" x14ac:dyDescent="0.35">
      <c r="B27" t="s">
        <v>66</v>
      </c>
    </row>
  </sheetData>
  <pageMargins left="0.7" right="0.7" top="0.75" bottom="0.75" header="0.3" footer="0.3"/>
  <pageSetup paperSize="2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49B3-ED86-4BD7-9A61-674E23736B18}">
  <dimension ref="A1:P39"/>
  <sheetViews>
    <sheetView tabSelected="1" topLeftCell="A8" zoomScale="120" zoomScaleNormal="120" workbookViewId="0">
      <selection activeCell="A12" sqref="A12"/>
    </sheetView>
  </sheetViews>
  <sheetFormatPr defaultRowHeight="14.5" x14ac:dyDescent="0.35"/>
  <cols>
    <col min="1" max="1" width="46.81640625" customWidth="1"/>
    <col min="2" max="2" width="20.81640625" bestFit="1" customWidth="1"/>
    <col min="3" max="3" width="19.453125" customWidth="1"/>
    <col min="4" max="4" width="12.453125" customWidth="1"/>
    <col min="5" max="5" width="16.1796875" customWidth="1"/>
    <col min="6" max="6" width="17.26953125" customWidth="1"/>
    <col min="7" max="7" width="16.81640625" customWidth="1"/>
    <col min="8" max="8" width="18.7265625" customWidth="1"/>
    <col min="16" max="16" width="10.54296875" customWidth="1"/>
  </cols>
  <sheetData>
    <row r="1" spans="1:16" x14ac:dyDescent="0.35">
      <c r="A1" s="6" t="s">
        <v>75</v>
      </c>
    </row>
    <row r="2" spans="1:16" x14ac:dyDescent="0.35">
      <c r="A2" s="6" t="s">
        <v>15</v>
      </c>
    </row>
    <row r="3" spans="1:16" x14ac:dyDescent="0.35">
      <c r="A3" s="6"/>
    </row>
    <row r="4" spans="1:16" x14ac:dyDescent="0.35">
      <c r="A4" s="9" t="s">
        <v>16</v>
      </c>
      <c r="B4" s="10">
        <v>1500000</v>
      </c>
      <c r="C4" s="11" t="s">
        <v>17</v>
      </c>
    </row>
    <row r="5" spans="1:16" ht="15" thickBot="1" x14ac:dyDescent="0.4">
      <c r="A5" s="9" t="s">
        <v>18</v>
      </c>
      <c r="B5" s="10">
        <v>120000</v>
      </c>
      <c r="C5" s="11" t="s">
        <v>17</v>
      </c>
    </row>
    <row r="6" spans="1:16" ht="15" thickBot="1" x14ac:dyDescent="0.4">
      <c r="A6" s="12" t="s">
        <v>19</v>
      </c>
      <c r="B6" s="14">
        <f>B4-B5</f>
        <v>1380000</v>
      </c>
      <c r="C6" s="13" t="s">
        <v>17</v>
      </c>
      <c r="D6" s="70"/>
      <c r="F6" s="72" t="s">
        <v>20</v>
      </c>
      <c r="G6" s="73"/>
      <c r="H6" s="74"/>
    </row>
    <row r="7" spans="1:16" ht="34.5" customHeight="1" thickTop="1" thickBot="1" x14ac:dyDescent="0.4">
      <c r="F7" s="75"/>
      <c r="G7" s="76"/>
      <c r="H7" s="77"/>
    </row>
    <row r="8" spans="1:16" ht="44" customHeight="1" x14ac:dyDescent="0.35">
      <c r="A8" s="2" t="s">
        <v>21</v>
      </c>
      <c r="B8" s="33" t="s">
        <v>22</v>
      </c>
      <c r="C8" s="3" t="s">
        <v>23</v>
      </c>
      <c r="D8" s="17" t="s">
        <v>24</v>
      </c>
      <c r="E8" s="17" t="s">
        <v>25</v>
      </c>
      <c r="F8" s="54" t="s">
        <v>57</v>
      </c>
      <c r="G8" s="55" t="s">
        <v>58</v>
      </c>
      <c r="H8" s="56" t="s">
        <v>59</v>
      </c>
    </row>
    <row r="9" spans="1:16" x14ac:dyDescent="0.35">
      <c r="A9" s="1" t="s">
        <v>26</v>
      </c>
      <c r="B9" s="23">
        <v>500</v>
      </c>
      <c r="C9" s="23">
        <f t="shared" ref="C9:C31" si="0">D9*($B$6-$C$32-$C$35)</f>
        <v>3117.169788808018</v>
      </c>
      <c r="D9" s="24">
        <f t="shared" ref="D9:D31" si="1">B9/$B$36</f>
        <v>2.982937596945472E-3</v>
      </c>
      <c r="E9" s="24">
        <f>C9/$B$6</f>
        <v>2.2588186875420421E-3</v>
      </c>
      <c r="F9" s="25">
        <f>(1-($F$34+$F$35))*D9</f>
        <v>1.9653796942666738E-3</v>
      </c>
      <c r="G9" s="26">
        <f>(1-($G$34+$G$35))*D9</f>
        <v>2.1630638896319768E-3</v>
      </c>
      <c r="H9" s="27">
        <f>(1-($H$34+$H$35))*D9</f>
        <v>2.2877506811842976E-3</v>
      </c>
      <c r="J9" s="18" t="s">
        <v>27</v>
      </c>
      <c r="K9" s="19"/>
      <c r="L9" s="19"/>
      <c r="M9" s="19"/>
      <c r="N9" s="19"/>
      <c r="O9" s="19"/>
      <c r="P9" s="19"/>
    </row>
    <row r="10" spans="1:16" x14ac:dyDescent="0.35">
      <c r="A10" s="1" t="s">
        <v>28</v>
      </c>
      <c r="B10" s="23">
        <v>300</v>
      </c>
      <c r="C10" s="23">
        <f t="shared" si="0"/>
        <v>1870.3018732848109</v>
      </c>
      <c r="D10" s="24">
        <f t="shared" si="1"/>
        <v>1.7897625581672831E-3</v>
      </c>
      <c r="E10" s="24">
        <f t="shared" ref="E10:E30" si="2">C10/$B$6</f>
        <v>1.3552912125252253E-3</v>
      </c>
      <c r="F10" s="25">
        <f t="shared" ref="F10:F31" si="3">(1-($F$34+$F$35))*D10</f>
        <v>1.1792278165600042E-3</v>
      </c>
      <c r="G10" s="26">
        <f t="shared" ref="G10:G31" si="4">(1-($G$34+$G$35))*D10</f>
        <v>1.2978383337791861E-3</v>
      </c>
      <c r="H10" s="27">
        <f t="shared" ref="H10:H31" si="5">(1-($H$34+$H$35))*D10</f>
        <v>1.3726504087105786E-3</v>
      </c>
      <c r="J10" s="20" t="s">
        <v>29</v>
      </c>
      <c r="K10" s="21"/>
      <c r="L10" s="21"/>
      <c r="M10" s="21"/>
      <c r="N10" s="21"/>
      <c r="O10" s="21"/>
      <c r="P10" s="21"/>
    </row>
    <row r="11" spans="1:16" x14ac:dyDescent="0.35">
      <c r="A11" s="1" t="s">
        <v>30</v>
      </c>
      <c r="B11" s="23">
        <v>4000</v>
      </c>
      <c r="C11" s="23">
        <f t="shared" si="0"/>
        <v>24937.358310464144</v>
      </c>
      <c r="D11" s="24">
        <f t="shared" si="1"/>
        <v>2.3863500775563776E-2</v>
      </c>
      <c r="E11" s="24">
        <f t="shared" si="2"/>
        <v>1.8070549500336337E-2</v>
      </c>
      <c r="F11" s="25">
        <f t="shared" si="3"/>
        <v>1.5723037554133391E-2</v>
      </c>
      <c r="G11" s="26">
        <f t="shared" si="4"/>
        <v>1.7304511117055815E-2</v>
      </c>
      <c r="H11" s="27">
        <f t="shared" si="5"/>
        <v>1.8302005449474381E-2</v>
      </c>
    </row>
    <row r="12" spans="1:16" x14ac:dyDescent="0.35">
      <c r="A12" s="1" t="s">
        <v>31</v>
      </c>
      <c r="B12" s="23">
        <v>10000</v>
      </c>
      <c r="C12" s="23">
        <f t="shared" si="0"/>
        <v>62343.395776160367</v>
      </c>
      <c r="D12" s="24">
        <f t="shared" si="1"/>
        <v>5.9658751938909439E-2</v>
      </c>
      <c r="E12" s="24">
        <f t="shared" si="2"/>
        <v>4.5176373750840847E-2</v>
      </c>
      <c r="F12" s="25">
        <f t="shared" si="3"/>
        <v>3.9307593885333482E-2</v>
      </c>
      <c r="G12" s="26">
        <f t="shared" si="4"/>
        <v>4.3261277792639538E-2</v>
      </c>
      <c r="H12" s="27">
        <f t="shared" si="5"/>
        <v>4.5755013623685954E-2</v>
      </c>
    </row>
    <row r="13" spans="1:16" x14ac:dyDescent="0.35">
      <c r="A13" s="1" t="s">
        <v>32</v>
      </c>
      <c r="B13" s="23">
        <v>10000</v>
      </c>
      <c r="C13" s="23">
        <f t="shared" si="0"/>
        <v>62343.395776160367</v>
      </c>
      <c r="D13" s="24">
        <f t="shared" si="1"/>
        <v>5.9658751938909439E-2</v>
      </c>
      <c r="E13" s="24">
        <f t="shared" si="2"/>
        <v>4.5176373750840847E-2</v>
      </c>
      <c r="F13" s="25">
        <f t="shared" si="3"/>
        <v>3.9307593885333482E-2</v>
      </c>
      <c r="G13" s="26">
        <f t="shared" si="4"/>
        <v>4.3261277792639538E-2</v>
      </c>
      <c r="H13" s="27">
        <f t="shared" si="5"/>
        <v>4.5755013623685954E-2</v>
      </c>
    </row>
    <row r="14" spans="1:16" x14ac:dyDescent="0.35">
      <c r="A14" s="1" t="s">
        <v>33</v>
      </c>
      <c r="B14" s="23">
        <v>10073</v>
      </c>
      <c r="C14" s="23">
        <f t="shared" si="0"/>
        <v>62798.502565326329</v>
      </c>
      <c r="D14" s="24">
        <f t="shared" si="1"/>
        <v>6.0094260828063475E-2</v>
      </c>
      <c r="E14" s="24">
        <f t="shared" si="2"/>
        <v>4.5506161279221975E-2</v>
      </c>
      <c r="F14" s="25">
        <f t="shared" si="3"/>
        <v>3.9594539320696412E-2</v>
      </c>
      <c r="G14" s="26">
        <f t="shared" si="4"/>
        <v>4.3577085120525799E-2</v>
      </c>
      <c r="H14" s="27">
        <f t="shared" si="5"/>
        <v>4.608902522313886E-2</v>
      </c>
    </row>
    <row r="15" spans="1:16" x14ac:dyDescent="0.35">
      <c r="A15" s="1" t="s">
        <v>34</v>
      </c>
      <c r="B15" s="23">
        <v>450</v>
      </c>
      <c r="C15" s="23">
        <f t="shared" si="0"/>
        <v>2805.4528099272165</v>
      </c>
      <c r="D15" s="24">
        <f t="shared" si="1"/>
        <v>2.6846438372509249E-3</v>
      </c>
      <c r="E15" s="24">
        <f t="shared" si="2"/>
        <v>2.0329368187878383E-3</v>
      </c>
      <c r="F15" s="25">
        <f t="shared" si="3"/>
        <v>1.7688417248400065E-3</v>
      </c>
      <c r="G15" s="26">
        <f t="shared" si="4"/>
        <v>1.9467575006687791E-3</v>
      </c>
      <c r="H15" s="27">
        <f t="shared" si="5"/>
        <v>2.0589756130658678E-3</v>
      </c>
    </row>
    <row r="16" spans="1:16" x14ac:dyDescent="0.35">
      <c r="A16" s="1" t="s">
        <v>35</v>
      </c>
      <c r="B16" s="23">
        <v>2000</v>
      </c>
      <c r="C16" s="23">
        <f t="shared" si="0"/>
        <v>12468.679155232072</v>
      </c>
      <c r="D16" s="24">
        <f t="shared" si="1"/>
        <v>1.1931750387781888E-2</v>
      </c>
      <c r="E16" s="24">
        <f t="shared" si="2"/>
        <v>9.0352747501681683E-3</v>
      </c>
      <c r="F16" s="25">
        <f t="shared" si="3"/>
        <v>7.8615187770666953E-3</v>
      </c>
      <c r="G16" s="26">
        <f t="shared" si="4"/>
        <v>8.6522555585279073E-3</v>
      </c>
      <c r="H16" s="27">
        <f t="shared" si="5"/>
        <v>9.1510027247371905E-3</v>
      </c>
    </row>
    <row r="17" spans="1:8" x14ac:dyDescent="0.35">
      <c r="A17" s="1" t="s">
        <v>36</v>
      </c>
      <c r="B17" s="23">
        <v>6500</v>
      </c>
      <c r="C17" s="23">
        <f t="shared" si="0"/>
        <v>40523.207254504232</v>
      </c>
      <c r="D17" s="24">
        <f t="shared" si="1"/>
        <v>3.8778188760291134E-2</v>
      </c>
      <c r="E17" s="24">
        <f t="shared" si="2"/>
        <v>2.9364642938046547E-2</v>
      </c>
      <c r="F17" s="25">
        <f t="shared" si="3"/>
        <v>2.5549936025466759E-2</v>
      </c>
      <c r="G17" s="26">
        <f t="shared" si="4"/>
        <v>2.8119830565215696E-2</v>
      </c>
      <c r="H17" s="27">
        <f t="shared" si="5"/>
        <v>2.9740758855395868E-2</v>
      </c>
    </row>
    <row r="18" spans="1:8" x14ac:dyDescent="0.35">
      <c r="A18" s="1" t="s">
        <v>37</v>
      </c>
      <c r="B18" s="23">
        <v>2972</v>
      </c>
      <c r="C18" s="23">
        <f t="shared" si="0"/>
        <v>18528.457224674861</v>
      </c>
      <c r="D18" s="24">
        <f t="shared" si="1"/>
        <v>1.7730581076243885E-2</v>
      </c>
      <c r="E18" s="24">
        <f t="shared" si="2"/>
        <v>1.3426418278749899E-2</v>
      </c>
      <c r="F18" s="25">
        <f t="shared" si="3"/>
        <v>1.168221690272111E-2</v>
      </c>
      <c r="G18" s="26">
        <f t="shared" si="4"/>
        <v>1.285725175997247E-2</v>
      </c>
      <c r="H18" s="27">
        <f t="shared" si="5"/>
        <v>1.3598390048959465E-2</v>
      </c>
    </row>
    <row r="19" spans="1:8" x14ac:dyDescent="0.35">
      <c r="A19" s="1" t="s">
        <v>38</v>
      </c>
      <c r="B19" s="23">
        <v>5000</v>
      </c>
      <c r="C19" s="23">
        <f t="shared" si="0"/>
        <v>31171.697888080183</v>
      </c>
      <c r="D19" s="24">
        <f t="shared" si="1"/>
        <v>2.982937596945472E-2</v>
      </c>
      <c r="E19" s="24">
        <f t="shared" si="2"/>
        <v>2.2588186875420423E-2</v>
      </c>
      <c r="F19" s="25">
        <f t="shared" si="3"/>
        <v>1.9653796942666741E-2</v>
      </c>
      <c r="G19" s="26">
        <f t="shared" si="4"/>
        <v>2.1630638896319769E-2</v>
      </c>
      <c r="H19" s="27">
        <f t="shared" si="5"/>
        <v>2.2877506811842977E-2</v>
      </c>
    </row>
    <row r="20" spans="1:8" x14ac:dyDescent="0.35">
      <c r="A20" s="1" t="s">
        <v>39</v>
      </c>
      <c r="B20" s="23">
        <v>1000</v>
      </c>
      <c r="C20" s="23">
        <f t="shared" si="0"/>
        <v>6234.339577616036</v>
      </c>
      <c r="D20" s="24">
        <f t="shared" si="1"/>
        <v>5.9658751938909439E-3</v>
      </c>
      <c r="E20" s="24">
        <f t="shared" si="2"/>
        <v>4.5176373750840841E-3</v>
      </c>
      <c r="F20" s="25">
        <f t="shared" si="3"/>
        <v>3.9307593885333477E-3</v>
      </c>
      <c r="G20" s="26">
        <f t="shared" si="4"/>
        <v>4.3261277792639536E-3</v>
      </c>
      <c r="H20" s="27">
        <f t="shared" si="5"/>
        <v>4.5755013623685952E-3</v>
      </c>
    </row>
    <row r="21" spans="1:8" x14ac:dyDescent="0.35">
      <c r="A21" s="1" t="s">
        <v>40</v>
      </c>
      <c r="B21" s="23">
        <v>1000</v>
      </c>
      <c r="C21" s="23">
        <f t="shared" si="0"/>
        <v>6234.339577616036</v>
      </c>
      <c r="D21" s="24">
        <f t="shared" si="1"/>
        <v>5.9658751938909439E-3</v>
      </c>
      <c r="E21" s="24">
        <f t="shared" si="2"/>
        <v>4.5176373750840841E-3</v>
      </c>
      <c r="F21" s="25">
        <f t="shared" si="3"/>
        <v>3.9307593885333477E-3</v>
      </c>
      <c r="G21" s="26">
        <f t="shared" si="4"/>
        <v>4.3261277792639536E-3</v>
      </c>
      <c r="H21" s="27">
        <f t="shared" si="5"/>
        <v>4.5755013623685952E-3</v>
      </c>
    </row>
    <row r="22" spans="1:8" x14ac:dyDescent="0.35">
      <c r="A22" s="1" t="s">
        <v>41</v>
      </c>
      <c r="B22" s="23">
        <v>50000</v>
      </c>
      <c r="C22" s="23">
        <f t="shared" si="0"/>
        <v>311716.97888080182</v>
      </c>
      <c r="D22" s="24">
        <f t="shared" si="1"/>
        <v>0.29829375969454719</v>
      </c>
      <c r="E22" s="24">
        <f t="shared" si="2"/>
        <v>0.22588186875420421</v>
      </c>
      <c r="F22" s="25">
        <f t="shared" si="3"/>
        <v>0.19653796942666737</v>
      </c>
      <c r="G22" s="26">
        <f t="shared" si="4"/>
        <v>0.21630638896319768</v>
      </c>
      <c r="H22" s="27">
        <f t="shared" si="5"/>
        <v>0.22877506811842976</v>
      </c>
    </row>
    <row r="23" spans="1:8" x14ac:dyDescent="0.35">
      <c r="A23" s="1" t="s">
        <v>42</v>
      </c>
      <c r="B23" s="23">
        <v>4000</v>
      </c>
      <c r="C23" s="23">
        <f t="shared" si="0"/>
        <v>24937.358310464144</v>
      </c>
      <c r="D23" s="24">
        <f t="shared" si="1"/>
        <v>2.3863500775563776E-2</v>
      </c>
      <c r="E23" s="24">
        <f t="shared" si="2"/>
        <v>1.8070549500336337E-2</v>
      </c>
      <c r="F23" s="25">
        <f t="shared" si="3"/>
        <v>1.5723037554133391E-2</v>
      </c>
      <c r="G23" s="26">
        <f t="shared" si="4"/>
        <v>1.7304511117055815E-2</v>
      </c>
      <c r="H23" s="27">
        <f t="shared" si="5"/>
        <v>1.8302005449474381E-2</v>
      </c>
    </row>
    <row r="24" spans="1:8" x14ac:dyDescent="0.35">
      <c r="A24" s="1" t="s">
        <v>43</v>
      </c>
      <c r="B24" s="23">
        <v>500</v>
      </c>
      <c r="C24" s="23">
        <f t="shared" si="0"/>
        <v>3117.169788808018</v>
      </c>
      <c r="D24" s="24">
        <f t="shared" si="1"/>
        <v>2.982937596945472E-3</v>
      </c>
      <c r="E24" s="24">
        <f t="shared" si="2"/>
        <v>2.2588186875420421E-3</v>
      </c>
      <c r="F24" s="25">
        <f t="shared" si="3"/>
        <v>1.9653796942666738E-3</v>
      </c>
      <c r="G24" s="26">
        <f t="shared" si="4"/>
        <v>2.1630638896319768E-3</v>
      </c>
      <c r="H24" s="27">
        <f t="shared" si="5"/>
        <v>2.2877506811842976E-3</v>
      </c>
    </row>
    <row r="25" spans="1:8" x14ac:dyDescent="0.35">
      <c r="A25" s="1" t="s">
        <v>44</v>
      </c>
      <c r="B25" s="23">
        <v>21400</v>
      </c>
      <c r="C25" s="23">
        <f t="shared" si="0"/>
        <v>133414.86696098317</v>
      </c>
      <c r="D25" s="24">
        <f t="shared" si="1"/>
        <v>0.12766972914926619</v>
      </c>
      <c r="E25" s="24">
        <f t="shared" si="2"/>
        <v>9.6677439826799397E-2</v>
      </c>
      <c r="F25" s="25">
        <f t="shared" si="3"/>
        <v>8.411825091461364E-2</v>
      </c>
      <c r="G25" s="26">
        <f t="shared" si="4"/>
        <v>9.2579134476248603E-2</v>
      </c>
      <c r="H25" s="27">
        <f t="shared" si="5"/>
        <v>9.7915729154687936E-2</v>
      </c>
    </row>
    <row r="26" spans="1:8" x14ac:dyDescent="0.35">
      <c r="A26" s="1" t="s">
        <v>45</v>
      </c>
      <c r="B26" s="23">
        <v>14000</v>
      </c>
      <c r="C26" s="23">
        <f t="shared" si="0"/>
        <v>87280.754086624496</v>
      </c>
      <c r="D26" s="24">
        <f t="shared" si="1"/>
        <v>8.3522252714473208E-2</v>
      </c>
      <c r="E26" s="24">
        <f t="shared" si="2"/>
        <v>6.3246923251177173E-2</v>
      </c>
      <c r="F26" s="25">
        <f t="shared" si="3"/>
        <v>5.5030631439466862E-2</v>
      </c>
      <c r="G26" s="26">
        <f t="shared" si="4"/>
        <v>6.0565788909695342E-2</v>
      </c>
      <c r="H26" s="27">
        <f t="shared" si="5"/>
        <v>6.4057019073160332E-2</v>
      </c>
    </row>
    <row r="27" spans="1:8" x14ac:dyDescent="0.35">
      <c r="A27" s="1" t="s">
        <v>46</v>
      </c>
      <c r="B27" s="23">
        <v>500</v>
      </c>
      <c r="C27" s="23">
        <f t="shared" si="0"/>
        <v>3117.169788808018</v>
      </c>
      <c r="D27" s="24">
        <f t="shared" si="1"/>
        <v>2.982937596945472E-3</v>
      </c>
      <c r="E27" s="24">
        <f t="shared" si="2"/>
        <v>2.2588186875420421E-3</v>
      </c>
      <c r="F27" s="25">
        <f t="shared" si="3"/>
        <v>1.9653796942666738E-3</v>
      </c>
      <c r="G27" s="26">
        <f t="shared" si="4"/>
        <v>2.1630638896319768E-3</v>
      </c>
      <c r="H27" s="27">
        <f t="shared" si="5"/>
        <v>2.2877506811842976E-3</v>
      </c>
    </row>
    <row r="28" spans="1:8" x14ac:dyDescent="0.35">
      <c r="A28" s="1" t="s">
        <v>47</v>
      </c>
      <c r="B28" s="23">
        <v>5000</v>
      </c>
      <c r="C28" s="23">
        <f t="shared" si="0"/>
        <v>31171.697888080183</v>
      </c>
      <c r="D28" s="24">
        <f t="shared" si="1"/>
        <v>2.982937596945472E-2</v>
      </c>
      <c r="E28" s="24">
        <f t="shared" si="2"/>
        <v>2.2588186875420423E-2</v>
      </c>
      <c r="F28" s="25">
        <f t="shared" si="3"/>
        <v>1.9653796942666741E-2</v>
      </c>
      <c r="G28" s="26">
        <f t="shared" si="4"/>
        <v>2.1630638896319769E-2</v>
      </c>
      <c r="H28" s="27">
        <f t="shared" si="5"/>
        <v>2.2877506811842977E-2</v>
      </c>
    </row>
    <row r="29" spans="1:8" x14ac:dyDescent="0.35">
      <c r="A29" s="1" t="s">
        <v>48</v>
      </c>
      <c r="B29" s="23">
        <v>5375</v>
      </c>
      <c r="C29" s="23">
        <f t="shared" si="0"/>
        <v>33509.575229686197</v>
      </c>
      <c r="D29" s="24">
        <f t="shared" si="1"/>
        <v>3.2066579167163822E-2</v>
      </c>
      <c r="E29" s="24">
        <f t="shared" si="2"/>
        <v>2.4282300891076955E-2</v>
      </c>
      <c r="F29" s="25">
        <f t="shared" si="3"/>
        <v>2.1127831713366744E-2</v>
      </c>
      <c r="G29" s="26">
        <f t="shared" si="4"/>
        <v>2.3252936813543748E-2</v>
      </c>
      <c r="H29" s="27">
        <f t="shared" si="5"/>
        <v>2.4593319822731198E-2</v>
      </c>
    </row>
    <row r="30" spans="1:8" x14ac:dyDescent="0.35">
      <c r="A30" s="16" t="s">
        <v>49</v>
      </c>
      <c r="B30" s="28">
        <v>3050</v>
      </c>
      <c r="C30" s="28">
        <f t="shared" si="0"/>
        <v>19014.735711728914</v>
      </c>
      <c r="D30" s="26">
        <f t="shared" si="1"/>
        <v>1.819591934136738E-2</v>
      </c>
      <c r="E30" s="26">
        <f t="shared" si="2"/>
        <v>1.377879399400646E-2</v>
      </c>
      <c r="F30" s="25">
        <f t="shared" si="3"/>
        <v>1.1988816135026711E-2</v>
      </c>
      <c r="G30" s="26">
        <f t="shared" si="4"/>
        <v>1.319468972675506E-2</v>
      </c>
      <c r="H30" s="27">
        <f t="shared" si="5"/>
        <v>1.3955279155224216E-2</v>
      </c>
    </row>
    <row r="31" spans="1:8" x14ac:dyDescent="0.35">
      <c r="A31" s="16" t="s">
        <v>50</v>
      </c>
      <c r="B31" s="28">
        <v>10000</v>
      </c>
      <c r="C31" s="28">
        <f t="shared" si="0"/>
        <v>62343.395776160367</v>
      </c>
      <c r="D31" s="26">
        <f t="shared" si="1"/>
        <v>5.9658751938909439E-2</v>
      </c>
      <c r="E31" s="26">
        <f>C31/$B$6</f>
        <v>4.5176373750840847E-2</v>
      </c>
      <c r="F31" s="25">
        <f t="shared" si="3"/>
        <v>3.9307593885333482E-2</v>
      </c>
      <c r="G31" s="26">
        <f t="shared" si="4"/>
        <v>4.3261277792639538E-2</v>
      </c>
      <c r="H31" s="27">
        <f t="shared" si="5"/>
        <v>4.5755013623685954E-2</v>
      </c>
    </row>
    <row r="32" spans="1:8" x14ac:dyDescent="0.35">
      <c r="A32" s="63" t="s">
        <v>68</v>
      </c>
      <c r="B32" s="64"/>
      <c r="C32" s="65">
        <v>244000</v>
      </c>
      <c r="D32" s="66"/>
      <c r="E32" s="66">
        <f>C32/$B$6</f>
        <v>0.17681159420289855</v>
      </c>
      <c r="F32" s="67">
        <f>588/3037</f>
        <v>0.19361211722094171</v>
      </c>
      <c r="G32" s="68">
        <f>588/4000</f>
        <v>0.14699999999999999</v>
      </c>
      <c r="H32" s="69">
        <f>588/5000</f>
        <v>0.1176</v>
      </c>
    </row>
    <row r="33" spans="1:15" x14ac:dyDescent="0.35">
      <c r="A33" s="63" t="s">
        <v>69</v>
      </c>
      <c r="B33" s="64"/>
      <c r="C33" s="65">
        <v>0</v>
      </c>
      <c r="D33" s="66"/>
      <c r="E33" s="66">
        <f t="shared" ref="E33:E35" si="6">C33/$B$6</f>
        <v>0</v>
      </c>
      <c r="F33" s="67">
        <f>248/3037</f>
        <v>8.1659532433322357E-2</v>
      </c>
      <c r="G33" s="68">
        <f>248/4000</f>
        <v>6.2E-2</v>
      </c>
      <c r="H33" s="69">
        <f>248/5000</f>
        <v>4.9599999999999998E-2</v>
      </c>
    </row>
    <row r="34" spans="1:15" x14ac:dyDescent="0.35">
      <c r="A34" s="16" t="s">
        <v>70</v>
      </c>
      <c r="B34" s="28"/>
      <c r="C34" s="23">
        <v>244000</v>
      </c>
      <c r="D34" s="24"/>
      <c r="E34" s="24">
        <f>SUM(E32:E33)</f>
        <v>0.17681159420289855</v>
      </c>
      <c r="F34" s="25">
        <f>SUM(F32:F33)</f>
        <v>0.27527164965426409</v>
      </c>
      <c r="G34" s="26">
        <f>SUM(G32:G33)</f>
        <v>0.20899999999999999</v>
      </c>
      <c r="H34" s="29">
        <f>SUM(H32:H33)</f>
        <v>0.16719999999999999</v>
      </c>
    </row>
    <row r="35" spans="1:15" ht="15" thickBot="1" x14ac:dyDescent="0.4">
      <c r="A35" s="16" t="s">
        <v>61</v>
      </c>
      <c r="B35" s="28"/>
      <c r="C35" s="23">
        <v>91000</v>
      </c>
      <c r="D35" s="24"/>
      <c r="E35" s="24">
        <f t="shared" si="6"/>
        <v>6.5942028985507245E-2</v>
      </c>
      <c r="F35" s="35">
        <f>200/3037</f>
        <v>6.5854461639776096E-2</v>
      </c>
      <c r="G35" s="36">
        <f>F35</f>
        <v>6.5854461639776096E-2</v>
      </c>
      <c r="H35" s="37">
        <f>G35</f>
        <v>6.5854461639776096E-2</v>
      </c>
      <c r="J35" s="71" t="s">
        <v>52</v>
      </c>
      <c r="K35" s="71"/>
      <c r="L35" s="71"/>
      <c r="M35" s="71"/>
      <c r="N35" s="71"/>
      <c r="O35" s="71"/>
    </row>
    <row r="36" spans="1:15" ht="15" thickTop="1" x14ac:dyDescent="0.35">
      <c r="A36" s="22" t="s">
        <v>53</v>
      </c>
      <c r="B36" s="30">
        <f t="shared" ref="B36:D36" si="7">SUM(B9:B35)</f>
        <v>167620</v>
      </c>
      <c r="C36" s="30">
        <f>SUM(C9:C31,C34:C35)</f>
        <v>1380000</v>
      </c>
      <c r="D36" s="31">
        <f t="shared" si="7"/>
        <v>1</v>
      </c>
      <c r="E36" s="32">
        <f>SUM(E9:E31,E34:E35)</f>
        <v>1</v>
      </c>
      <c r="F36" s="31">
        <f>SUM(F9:F31,F34:F35)</f>
        <v>1</v>
      </c>
      <c r="G36" s="31">
        <f>SUM(G9:G31,G34:G35)</f>
        <v>1</v>
      </c>
      <c r="H36" s="31">
        <f>SUM(H9:H31,H34:H35)</f>
        <v>0.99999999999999978</v>
      </c>
      <c r="J36" s="71"/>
      <c r="K36" s="71"/>
      <c r="L36" s="71"/>
      <c r="M36" s="71"/>
      <c r="N36" s="71"/>
      <c r="O36" s="71"/>
    </row>
    <row r="37" spans="1:15" ht="29" x14ac:dyDescent="0.35">
      <c r="A37" s="4"/>
      <c r="B37" s="4"/>
      <c r="C37" s="53"/>
      <c r="F37" s="17" t="s">
        <v>71</v>
      </c>
      <c r="G37" s="17" t="s">
        <v>72</v>
      </c>
      <c r="H37" s="17" t="s">
        <v>73</v>
      </c>
    </row>
    <row r="38" spans="1:15" ht="29" x14ac:dyDescent="0.35">
      <c r="A38" s="34" t="s">
        <v>74</v>
      </c>
    </row>
    <row r="39" spans="1:15" ht="43.5" x14ac:dyDescent="0.35">
      <c r="A39" s="34" t="s">
        <v>60</v>
      </c>
    </row>
  </sheetData>
  <mergeCells count="2">
    <mergeCell ref="J35:O36"/>
    <mergeCell ref="F6:H7"/>
  </mergeCells>
  <conditionalFormatting sqref="F9:H31">
    <cfRule type="cellIs" dxfId="1" priority="12" operator="greaterThan">
      <formula>$E9</formula>
    </cfRule>
  </conditionalFormatting>
  <conditionalFormatting sqref="F9:H31">
    <cfRule type="cellIs" dxfId="0" priority="1" operator="lessThan">
      <formula>$E9</formula>
    </cfRule>
  </conditionalFormatting>
  <pageMargins left="0.7" right="0.7" top="0.75" bottom="0.75" header="0.3" footer="0.3"/>
  <pageSetup paperSize="2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01DC-83AA-4633-A5A8-C8C08CB57283}">
  <dimension ref="A1:D30"/>
  <sheetViews>
    <sheetView zoomScale="120" zoomScaleNormal="120" workbookViewId="0">
      <selection activeCell="E5" sqref="E5"/>
    </sheetView>
  </sheetViews>
  <sheetFormatPr defaultRowHeight="14.5" x14ac:dyDescent="0.35"/>
  <cols>
    <col min="1" max="1" width="31.54296875" bestFit="1" customWidth="1"/>
    <col min="2" max="2" width="11" bestFit="1" customWidth="1"/>
    <col min="3" max="3" width="11" customWidth="1"/>
    <col min="4" max="4" width="14.54296875" customWidth="1"/>
  </cols>
  <sheetData>
    <row r="1" spans="1:4" x14ac:dyDescent="0.35">
      <c r="A1" s="38"/>
      <c r="B1" s="78" t="s">
        <v>76</v>
      </c>
      <c r="C1" s="79"/>
      <c r="D1" s="80"/>
    </row>
    <row r="2" spans="1:4" ht="43.5" x14ac:dyDescent="0.35">
      <c r="A2" s="39" t="s">
        <v>21</v>
      </c>
      <c r="B2" s="44" t="s">
        <v>54</v>
      </c>
      <c r="C2" s="61" t="s">
        <v>64</v>
      </c>
      <c r="D2" s="15" t="s">
        <v>55</v>
      </c>
    </row>
    <row r="3" spans="1:4" x14ac:dyDescent="0.35">
      <c r="A3" s="40" t="s">
        <v>26</v>
      </c>
      <c r="B3" s="45">
        <f>'Storage Allocation'!C9</f>
        <v>3117.169788808018</v>
      </c>
      <c r="C3" s="57">
        <f>'Storage Allocation'!E9</f>
        <v>2.2588186875420421E-3</v>
      </c>
      <c r="D3" s="46">
        <f>'Storage Allocation'!F9</f>
        <v>1.9653796942666738E-3</v>
      </c>
    </row>
    <row r="4" spans="1:4" x14ac:dyDescent="0.35">
      <c r="A4" s="40" t="s">
        <v>28</v>
      </c>
      <c r="B4" s="45">
        <f>'Storage Allocation'!C10</f>
        <v>1870.3018732848109</v>
      </c>
      <c r="C4" s="57">
        <f>'Storage Allocation'!E10</f>
        <v>1.3552912125252253E-3</v>
      </c>
      <c r="D4" s="46">
        <f>'Storage Allocation'!F10</f>
        <v>1.1792278165600042E-3</v>
      </c>
    </row>
    <row r="5" spans="1:4" x14ac:dyDescent="0.35">
      <c r="A5" s="40" t="s">
        <v>30</v>
      </c>
      <c r="B5" s="45">
        <f>'Storage Allocation'!C11</f>
        <v>24937.358310464144</v>
      </c>
      <c r="C5" s="57">
        <f>'Storage Allocation'!E11</f>
        <v>1.8070549500336337E-2</v>
      </c>
      <c r="D5" s="46">
        <f>'Storage Allocation'!F11</f>
        <v>1.5723037554133391E-2</v>
      </c>
    </row>
    <row r="6" spans="1:4" x14ac:dyDescent="0.35">
      <c r="A6" s="40" t="s">
        <v>31</v>
      </c>
      <c r="B6" s="45">
        <f>'Storage Allocation'!C12</f>
        <v>62343.395776160367</v>
      </c>
      <c r="C6" s="57">
        <f>'Storage Allocation'!E12</f>
        <v>4.5176373750840847E-2</v>
      </c>
      <c r="D6" s="46">
        <f>'Storage Allocation'!F12</f>
        <v>3.9307593885333482E-2</v>
      </c>
    </row>
    <row r="7" spans="1:4" x14ac:dyDescent="0.35">
      <c r="A7" s="40" t="s">
        <v>32</v>
      </c>
      <c r="B7" s="45">
        <f>'Storage Allocation'!C13</f>
        <v>62343.395776160367</v>
      </c>
      <c r="C7" s="57">
        <f>'Storage Allocation'!E13</f>
        <v>4.5176373750840847E-2</v>
      </c>
      <c r="D7" s="46">
        <f>'Storage Allocation'!F13</f>
        <v>3.9307593885333482E-2</v>
      </c>
    </row>
    <row r="8" spans="1:4" x14ac:dyDescent="0.35">
      <c r="A8" s="40" t="s">
        <v>33</v>
      </c>
      <c r="B8" s="45">
        <f>'Storage Allocation'!C14</f>
        <v>62798.502565326329</v>
      </c>
      <c r="C8" s="57">
        <f>'Storage Allocation'!E14</f>
        <v>4.5506161279221975E-2</v>
      </c>
      <c r="D8" s="46">
        <f>'Storage Allocation'!F14</f>
        <v>3.9594539320696412E-2</v>
      </c>
    </row>
    <row r="9" spans="1:4" x14ac:dyDescent="0.35">
      <c r="A9" s="40" t="s">
        <v>34</v>
      </c>
      <c r="B9" s="45">
        <f>'Storage Allocation'!C15</f>
        <v>2805.4528099272165</v>
      </c>
      <c r="C9" s="57">
        <f>'Storage Allocation'!E15</f>
        <v>2.0329368187878383E-3</v>
      </c>
      <c r="D9" s="46">
        <f>'Storage Allocation'!F15</f>
        <v>1.7688417248400065E-3</v>
      </c>
    </row>
    <row r="10" spans="1:4" x14ac:dyDescent="0.35">
      <c r="A10" s="40" t="s">
        <v>35</v>
      </c>
      <c r="B10" s="45">
        <f>'Storage Allocation'!C16</f>
        <v>12468.679155232072</v>
      </c>
      <c r="C10" s="57">
        <f>'Storage Allocation'!E16</f>
        <v>9.0352747501681683E-3</v>
      </c>
      <c r="D10" s="46">
        <f>'Storage Allocation'!F16</f>
        <v>7.8615187770666953E-3</v>
      </c>
    </row>
    <row r="11" spans="1:4" x14ac:dyDescent="0.35">
      <c r="A11" s="40" t="s">
        <v>36</v>
      </c>
      <c r="B11" s="45">
        <f>'Storage Allocation'!C17</f>
        <v>40523.207254504232</v>
      </c>
      <c r="C11" s="57">
        <f>'Storage Allocation'!E17</f>
        <v>2.9364642938046547E-2</v>
      </c>
      <c r="D11" s="46">
        <f>'Storage Allocation'!F17</f>
        <v>2.5549936025466759E-2</v>
      </c>
    </row>
    <row r="12" spans="1:4" x14ac:dyDescent="0.35">
      <c r="A12" s="40" t="s">
        <v>37</v>
      </c>
      <c r="B12" s="45">
        <f>'Storage Allocation'!C18</f>
        <v>18528.457224674861</v>
      </c>
      <c r="C12" s="57">
        <f>'Storage Allocation'!E18</f>
        <v>1.3426418278749899E-2</v>
      </c>
      <c r="D12" s="46">
        <f>'Storage Allocation'!F18</f>
        <v>1.168221690272111E-2</v>
      </c>
    </row>
    <row r="13" spans="1:4" x14ac:dyDescent="0.35">
      <c r="A13" s="40" t="s">
        <v>38</v>
      </c>
      <c r="B13" s="45">
        <f>'Storage Allocation'!C19</f>
        <v>31171.697888080183</v>
      </c>
      <c r="C13" s="57">
        <f>'Storage Allocation'!E19</f>
        <v>2.2588186875420423E-2</v>
      </c>
      <c r="D13" s="46">
        <f>'Storage Allocation'!F19</f>
        <v>1.9653796942666741E-2</v>
      </c>
    </row>
    <row r="14" spans="1:4" x14ac:dyDescent="0.35">
      <c r="A14" s="40" t="s">
        <v>39</v>
      </c>
      <c r="B14" s="45">
        <f>'Storage Allocation'!C20</f>
        <v>6234.339577616036</v>
      </c>
      <c r="C14" s="57">
        <f>'Storage Allocation'!E20</f>
        <v>4.5176373750840841E-3</v>
      </c>
      <c r="D14" s="46">
        <f>'Storage Allocation'!F20</f>
        <v>3.9307593885333477E-3</v>
      </c>
    </row>
    <row r="15" spans="1:4" x14ac:dyDescent="0.35">
      <c r="A15" s="40" t="s">
        <v>40</v>
      </c>
      <c r="B15" s="45">
        <f>'Storage Allocation'!C21</f>
        <v>6234.339577616036</v>
      </c>
      <c r="C15" s="57">
        <f>'Storage Allocation'!E21</f>
        <v>4.5176373750840841E-3</v>
      </c>
      <c r="D15" s="46">
        <f>'Storage Allocation'!F21</f>
        <v>3.9307593885333477E-3</v>
      </c>
    </row>
    <row r="16" spans="1:4" x14ac:dyDescent="0.35">
      <c r="A16" s="40" t="s">
        <v>41</v>
      </c>
      <c r="B16" s="45">
        <f>'Storage Allocation'!C22</f>
        <v>311716.97888080182</v>
      </c>
      <c r="C16" s="57">
        <f>'Storage Allocation'!E22</f>
        <v>0.22588186875420421</v>
      </c>
      <c r="D16" s="46">
        <f>'Storage Allocation'!F22</f>
        <v>0.19653796942666737</v>
      </c>
    </row>
    <row r="17" spans="1:4" x14ac:dyDescent="0.35">
      <c r="A17" s="40" t="s">
        <v>42</v>
      </c>
      <c r="B17" s="45">
        <f>'Storage Allocation'!C23</f>
        <v>24937.358310464144</v>
      </c>
      <c r="C17" s="57">
        <f>'Storage Allocation'!E23</f>
        <v>1.8070549500336337E-2</v>
      </c>
      <c r="D17" s="46">
        <f>'Storage Allocation'!F23</f>
        <v>1.5723037554133391E-2</v>
      </c>
    </row>
    <row r="18" spans="1:4" x14ac:dyDescent="0.35">
      <c r="A18" s="40" t="s">
        <v>43</v>
      </c>
      <c r="B18" s="45">
        <f>'Storage Allocation'!C24</f>
        <v>3117.169788808018</v>
      </c>
      <c r="C18" s="57">
        <f>'Storage Allocation'!E24</f>
        <v>2.2588186875420421E-3</v>
      </c>
      <c r="D18" s="46">
        <f>'Storage Allocation'!F24</f>
        <v>1.9653796942666738E-3</v>
      </c>
    </row>
    <row r="19" spans="1:4" x14ac:dyDescent="0.35">
      <c r="A19" s="40" t="s">
        <v>44</v>
      </c>
      <c r="B19" s="45">
        <f>'Storage Allocation'!C25</f>
        <v>133414.86696098317</v>
      </c>
      <c r="C19" s="57">
        <f>'Storage Allocation'!E25</f>
        <v>9.6677439826799397E-2</v>
      </c>
      <c r="D19" s="46">
        <f>'Storage Allocation'!F25</f>
        <v>8.411825091461364E-2</v>
      </c>
    </row>
    <row r="20" spans="1:4" x14ac:dyDescent="0.35">
      <c r="A20" s="40" t="s">
        <v>45</v>
      </c>
      <c r="B20" s="45">
        <f>'Storage Allocation'!C26</f>
        <v>87280.754086624496</v>
      </c>
      <c r="C20" s="57">
        <f>'Storage Allocation'!E26</f>
        <v>6.3246923251177173E-2</v>
      </c>
      <c r="D20" s="46">
        <f>'Storage Allocation'!F26</f>
        <v>5.5030631439466862E-2</v>
      </c>
    </row>
    <row r="21" spans="1:4" x14ac:dyDescent="0.35">
      <c r="A21" s="40" t="s">
        <v>46</v>
      </c>
      <c r="B21" s="45">
        <f>'Storage Allocation'!C27</f>
        <v>3117.169788808018</v>
      </c>
      <c r="C21" s="57">
        <f>'Storage Allocation'!E27</f>
        <v>2.2588186875420421E-3</v>
      </c>
      <c r="D21" s="46">
        <f>'Storage Allocation'!F27</f>
        <v>1.9653796942666738E-3</v>
      </c>
    </row>
    <row r="22" spans="1:4" x14ac:dyDescent="0.35">
      <c r="A22" s="40" t="s">
        <v>47</v>
      </c>
      <c r="B22" s="45">
        <f>'Storage Allocation'!C28</f>
        <v>31171.697888080183</v>
      </c>
      <c r="C22" s="57">
        <f>'Storage Allocation'!E28</f>
        <v>2.2588186875420423E-2</v>
      </c>
      <c r="D22" s="46">
        <f>'Storage Allocation'!F28</f>
        <v>1.9653796942666741E-2</v>
      </c>
    </row>
    <row r="23" spans="1:4" x14ac:dyDescent="0.35">
      <c r="A23" s="40" t="s">
        <v>48</v>
      </c>
      <c r="B23" s="45">
        <f>'Storage Allocation'!C29</f>
        <v>33509.575229686197</v>
      </c>
      <c r="C23" s="57">
        <f>'Storage Allocation'!E29</f>
        <v>2.4282300891076955E-2</v>
      </c>
      <c r="D23" s="46">
        <f>'Storage Allocation'!F29</f>
        <v>2.1127831713366744E-2</v>
      </c>
    </row>
    <row r="24" spans="1:4" x14ac:dyDescent="0.35">
      <c r="A24" s="40" t="s">
        <v>49</v>
      </c>
      <c r="B24" s="45">
        <f>'Storage Allocation'!C30</f>
        <v>19014.735711728914</v>
      </c>
      <c r="C24" s="57">
        <f>'Storage Allocation'!E30</f>
        <v>1.377879399400646E-2</v>
      </c>
      <c r="D24" s="46">
        <f>'Storage Allocation'!F30</f>
        <v>1.1988816135026711E-2</v>
      </c>
    </row>
    <row r="25" spans="1:4" x14ac:dyDescent="0.35">
      <c r="A25" s="40" t="s">
        <v>50</v>
      </c>
      <c r="B25" s="45">
        <f>'Storage Allocation'!C31</f>
        <v>62343.395776160367</v>
      </c>
      <c r="C25" s="57">
        <f>'Storage Allocation'!E31</f>
        <v>4.5176373750840847E-2</v>
      </c>
      <c r="D25" s="46">
        <f>'Storage Allocation'!F31</f>
        <v>3.9307593885333482E-2</v>
      </c>
    </row>
    <row r="26" spans="1:4" x14ac:dyDescent="0.35">
      <c r="A26" s="41" t="s">
        <v>51</v>
      </c>
      <c r="B26" s="47">
        <f>'Storage Allocation'!C34</f>
        <v>244000</v>
      </c>
      <c r="C26" s="58">
        <f>'Storage Allocation'!E34</f>
        <v>0.17681159420289855</v>
      </c>
      <c r="D26" s="48">
        <f>'Storage Allocation'!F34</f>
        <v>0.27527164965426409</v>
      </c>
    </row>
    <row r="27" spans="1:4" ht="15" thickBot="1" x14ac:dyDescent="0.4">
      <c r="A27" s="42" t="s">
        <v>62</v>
      </c>
      <c r="B27" s="52">
        <v>91000</v>
      </c>
      <c r="C27" s="59">
        <f>'Storage Allocation'!E35</f>
        <v>6.5942028985507245E-2</v>
      </c>
      <c r="D27" s="49">
        <f>'Storage Allocation'!F35</f>
        <v>6.5854461639776096E-2</v>
      </c>
    </row>
    <row r="28" spans="1:4" ht="15.5" thickTop="1" thickBot="1" x14ac:dyDescent="0.4">
      <c r="A28" s="43" t="s">
        <v>56</v>
      </c>
      <c r="B28" s="50">
        <f t="shared" ref="B28:D28" si="0">SUM(B3:B27)</f>
        <v>1380000</v>
      </c>
      <c r="C28" s="60">
        <f>SUM(C3:C27)</f>
        <v>1</v>
      </c>
      <c r="D28" s="51">
        <f t="shared" si="0"/>
        <v>1</v>
      </c>
    </row>
    <row r="30" spans="1:4" ht="41.5" customHeight="1" x14ac:dyDescent="0.35">
      <c r="A30" s="81" t="s">
        <v>63</v>
      </c>
      <c r="B30" s="81"/>
      <c r="C30" s="81"/>
      <c r="D30" s="81"/>
    </row>
  </sheetData>
  <mergeCells count="2">
    <mergeCell ref="B1:D1"/>
    <mergeCell ref="A30:D30"/>
  </mergeCells>
  <pageMargins left="0.7" right="0.7" top="0.75" bottom="0.75" header="0.3" footer="0.3"/>
  <pageSetup paperSize="2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693296F73757C4C81F6FF6AF71F996D" ma:contentTypeVersion="7" ma:contentTypeDescription="Create a new document." ma:contentTypeScope="" ma:versionID="bd9c7a9923af4d2560e5882ce6d2d817">
  <xsd:schema xmlns:xsd="http://www.w3.org/2001/XMLSchema" xmlns:xs="http://www.w3.org/2001/XMLSchema" xmlns:p="http://schemas.microsoft.com/office/2006/metadata/properties" xmlns:ns2="d9320a93-a9f0-4135-97e0-380ac3311a04" xmlns:ns3="73557df1-9c4f-4e4f-b578-0c3396ac159e" targetNamespace="http://schemas.microsoft.com/office/2006/metadata/properties" ma:root="true" ma:fieldsID="2ba50ac03fce6877321867b1a7dea1ef" ns2:_="" ns3:_="">
    <xsd:import namespace="d9320a93-a9f0-4135-97e0-380ac3311a04"/>
    <xsd:import namespace="73557df1-9c4f-4e4f-b578-0c3396ac15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320a93-a9f0-4135-97e0-380ac3311a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557df1-9c4f-4e4f-b578-0c3396ac15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9320a93-a9f0-4135-97e0-380ac3311a04">W2DYDCZSR3KP-736797828-3777</_dlc_DocId>
    <_dlc_DocIdUrl xmlns="d9320a93-a9f0-4135-97e0-380ac3311a04">
      <Url>https://sitesreservoirproject.sharepoint.com/OpsModeling/_layouts/15/DocIdRedir.aspx?ID=W2DYDCZSR3KP-736797828-3777</Url>
      <Description>W2DYDCZSR3KP-736797828-3777</Description>
    </_dlc_DocIdUrl>
  </documentManagement>
</p:properties>
</file>

<file path=customXml/itemProps1.xml><?xml version="1.0" encoding="utf-8"?>
<ds:datastoreItem xmlns:ds="http://schemas.openxmlformats.org/officeDocument/2006/customXml" ds:itemID="{64829541-F9A3-478F-B050-0642EAD0161E}">
  <ds:schemaRefs>
    <ds:schemaRef ds:uri="http://schemas.microsoft.com/sharepoint/v3/contenttype/forms"/>
  </ds:schemaRefs>
</ds:datastoreItem>
</file>

<file path=customXml/itemProps2.xml><?xml version="1.0" encoding="utf-8"?>
<ds:datastoreItem xmlns:ds="http://schemas.openxmlformats.org/officeDocument/2006/customXml" ds:itemID="{A1CD2FB3-A833-4119-BC5C-67FA85367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320a93-a9f0-4135-97e0-380ac3311a04"/>
    <ds:schemaRef ds:uri="73557df1-9c4f-4e4f-b578-0c3396ac15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70E753-51F7-4BA1-A725-D2EFB71D1968}">
  <ds:schemaRefs>
    <ds:schemaRef ds:uri="http://schemas.microsoft.com/sharepoint/events"/>
  </ds:schemaRefs>
</ds:datastoreItem>
</file>

<file path=customXml/itemProps4.xml><?xml version="1.0" encoding="utf-8"?>
<ds:datastoreItem xmlns:ds="http://schemas.openxmlformats.org/officeDocument/2006/customXml" ds:itemID="{B89C70D5-DA21-49CB-AC30-71D77274ECA8}">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d9320a93-a9f0-4135-97e0-380ac3311a04"/>
    <ds:schemaRef ds:uri="http://schemas.microsoft.com/office/infopath/2007/PartnerControls"/>
    <ds:schemaRef ds:uri="73557df1-9c4f-4e4f-b578-0c3396ac159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State and Fed Conversion</vt:lpstr>
      <vt:lpstr>Storage Allocation</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Heydinger, Erin</dc:creator>
  <cp:keywords/>
  <dc:description/>
  <cp:lastModifiedBy>Heydinger, Erin</cp:lastModifiedBy>
  <cp:revision/>
  <dcterms:created xsi:type="dcterms:W3CDTF">2020-06-30T20:38:20Z</dcterms:created>
  <dcterms:modified xsi:type="dcterms:W3CDTF">2021-03-12T04:07:05Z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0x010100D693296F73757C4C81F6FF6AF71F996D</vt:lpwstr>
  </property>
  <property fmtid="{D5CDD505-2E9C-101B-9397-08002B2CF9AE}" pid="3" name="_dlc_DocIdItemGuid">
    <vt:lpwstr>4fb2cccc-e073-4234-b4bc-6b44a1feed05</vt:lpwstr>
  </property>
</Properties>
</file>