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TORAGE PROJECTS\Sites Reservoir\Project Agreement  Committee Meetings\Ops Workgroup\Sub-Group on Storage\"/>
    </mc:Choice>
  </mc:AlternateContent>
  <bookViews>
    <workbookView xWindow="0" yWindow="0" windowWidth="28800" windowHeight="12195" firstSheet="4" activeTab="7"/>
  </bookViews>
  <sheets>
    <sheet name="JJv1(with edits)" sheetId="1" r:id="rId1"/>
    <sheet name="JJv2" sheetId="5" r:id="rId2"/>
    <sheet name="JJv3" sheetId="7" r:id="rId3"/>
    <sheet name="JJv4" sheetId="15" r:id="rId4"/>
    <sheet name="192,892AF Basis" sheetId="6" r:id="rId5"/>
    <sheet name="JJv2 (2)" sheetId="12" r:id="rId6"/>
    <sheet name="JJv3 (2)" sheetId="11" r:id="rId7"/>
    <sheet name="JJv4 (2)" sheetId="13" r:id="rId8"/>
    <sheet name="250TAF Basis" sheetId="10" r:id="rId9"/>
    <sheet name="ELv1" sheetId="2" r:id="rId10"/>
    <sheet name="ELv2" sheetId="9" r:id="rId11"/>
    <sheet name="ELv3" sheetId="14" r:id="rId12"/>
    <sheet name="500TAF Basis" sheetId="3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5" l="1"/>
  <c r="D29" i="15"/>
  <c r="E29" i="15" s="1"/>
  <c r="D26" i="15"/>
  <c r="E26" i="15" s="1"/>
  <c r="D24" i="15"/>
  <c r="D23" i="15"/>
  <c r="E23" i="15" s="1"/>
  <c r="E21" i="15"/>
  <c r="D21" i="15"/>
  <c r="D18" i="15"/>
  <c r="D16" i="15"/>
  <c r="D15" i="15"/>
  <c r="D13" i="15"/>
  <c r="E13" i="15" s="1"/>
  <c r="D8" i="15"/>
  <c r="D27" i="15" s="1"/>
  <c r="E7" i="15"/>
  <c r="E6" i="15"/>
  <c r="E5" i="15"/>
  <c r="H2" i="15"/>
  <c r="H1" i="15"/>
  <c r="H3" i="15" s="1"/>
  <c r="D31" i="14"/>
  <c r="E31" i="14" s="1"/>
  <c r="D30" i="14"/>
  <c r="E30" i="14" s="1"/>
  <c r="D29" i="14"/>
  <c r="E29" i="14" s="1"/>
  <c r="D28" i="14"/>
  <c r="D27" i="14"/>
  <c r="E27" i="14" s="1"/>
  <c r="D26" i="14"/>
  <c r="E26" i="14" s="1"/>
  <c r="D25" i="14"/>
  <c r="E25" i="14" s="1"/>
  <c r="D24" i="14"/>
  <c r="E24" i="14" s="1"/>
  <c r="D23" i="14"/>
  <c r="D22" i="14"/>
  <c r="E22" i="14" s="1"/>
  <c r="D21" i="14"/>
  <c r="E21" i="14" s="1"/>
  <c r="D20" i="14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D11" i="14"/>
  <c r="E11" i="14" s="1"/>
  <c r="D8" i="14"/>
  <c r="E7" i="14"/>
  <c r="E6" i="14"/>
  <c r="E5" i="14"/>
  <c r="H2" i="14"/>
  <c r="H1" i="14"/>
  <c r="H3" i="14" s="1"/>
  <c r="D31" i="13"/>
  <c r="D29" i="13"/>
  <c r="D26" i="13"/>
  <c r="E26" i="13" s="1"/>
  <c r="D24" i="13"/>
  <c r="D23" i="13"/>
  <c r="D21" i="13"/>
  <c r="D18" i="13"/>
  <c r="D16" i="13"/>
  <c r="D15" i="13"/>
  <c r="D13" i="13"/>
  <c r="D8" i="13"/>
  <c r="D27" i="13" s="1"/>
  <c r="E7" i="13"/>
  <c r="E6" i="13"/>
  <c r="E8" i="13" s="1"/>
  <c r="E5" i="13"/>
  <c r="H2" i="13"/>
  <c r="H1" i="13"/>
  <c r="H3" i="13" s="1"/>
  <c r="E8" i="15" l="1"/>
  <c r="E27" i="15"/>
  <c r="F27" i="15" s="1"/>
  <c r="F5" i="15"/>
  <c r="F26" i="15"/>
  <c r="F29" i="15"/>
  <c r="F16" i="15"/>
  <c r="F23" i="15"/>
  <c r="F21" i="15"/>
  <c r="F13" i="15"/>
  <c r="F7" i="15"/>
  <c r="F6" i="15"/>
  <c r="E16" i="15"/>
  <c r="E24" i="15"/>
  <c r="F24" i="15" s="1"/>
  <c r="E15" i="15"/>
  <c r="F15" i="15" s="1"/>
  <c r="D28" i="15"/>
  <c r="E31" i="15"/>
  <c r="F31" i="15" s="1"/>
  <c r="D17" i="15"/>
  <c r="D14" i="15"/>
  <c r="D22" i="15"/>
  <c r="D30" i="15"/>
  <c r="E18" i="15"/>
  <c r="F18" i="15" s="1"/>
  <c r="D12" i="15"/>
  <c r="D20" i="15"/>
  <c r="D25" i="15"/>
  <c r="D11" i="15"/>
  <c r="D19" i="15"/>
  <c r="E8" i="14"/>
  <c r="F25" i="14"/>
  <c r="F17" i="14"/>
  <c r="F5" i="14"/>
  <c r="F18" i="14"/>
  <c r="F21" i="14"/>
  <c r="F13" i="14"/>
  <c r="F7" i="14"/>
  <c r="F26" i="14"/>
  <c r="F29" i="14"/>
  <c r="F31" i="14"/>
  <c r="F23" i="14"/>
  <c r="F15" i="14"/>
  <c r="F24" i="14"/>
  <c r="F27" i="14"/>
  <c r="F19" i="14"/>
  <c r="F11" i="14"/>
  <c r="F6" i="14"/>
  <c r="F30" i="14"/>
  <c r="F22" i="14"/>
  <c r="F14" i="14"/>
  <c r="F16" i="14"/>
  <c r="D32" i="14"/>
  <c r="G28" i="14" s="1"/>
  <c r="H28" i="14" s="1"/>
  <c r="E12" i="14"/>
  <c r="F12" i="14" s="1"/>
  <c r="E20" i="14"/>
  <c r="F20" i="14" s="1"/>
  <c r="E28" i="14"/>
  <c r="F28" i="14" s="1"/>
  <c r="E23" i="14"/>
  <c r="F5" i="13"/>
  <c r="F26" i="13"/>
  <c r="F15" i="13"/>
  <c r="F7" i="13"/>
  <c r="F24" i="13"/>
  <c r="F27" i="13"/>
  <c r="F6" i="13"/>
  <c r="E27" i="13"/>
  <c r="E29" i="13"/>
  <c r="F29" i="13" s="1"/>
  <c r="E24" i="13"/>
  <c r="E21" i="13"/>
  <c r="F21" i="13" s="1"/>
  <c r="E16" i="13"/>
  <c r="F16" i="13" s="1"/>
  <c r="E18" i="13"/>
  <c r="F18" i="13" s="1"/>
  <c r="D12" i="13"/>
  <c r="E15" i="13"/>
  <c r="E23" i="13"/>
  <c r="F23" i="13" s="1"/>
  <c r="D28" i="13"/>
  <c r="E31" i="13"/>
  <c r="F31" i="13" s="1"/>
  <c r="D17" i="13"/>
  <c r="D25" i="13"/>
  <c r="E13" i="13"/>
  <c r="F13" i="13" s="1"/>
  <c r="D14" i="13"/>
  <c r="D22" i="13"/>
  <c r="D30" i="13"/>
  <c r="D20" i="13"/>
  <c r="D11" i="13"/>
  <c r="D19" i="13"/>
  <c r="D8" i="12"/>
  <c r="D30" i="12" s="1"/>
  <c r="E7" i="12"/>
  <c r="E6" i="12"/>
  <c r="E5" i="12"/>
  <c r="H2" i="12"/>
  <c r="H1" i="12"/>
  <c r="H3" i="12" s="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E29" i="11" s="1"/>
  <c r="D30" i="11"/>
  <c r="D31" i="11"/>
  <c r="D11" i="11"/>
  <c r="E26" i="11"/>
  <c r="E18" i="11"/>
  <c r="D8" i="11"/>
  <c r="E7" i="11"/>
  <c r="E6" i="11"/>
  <c r="E5" i="11"/>
  <c r="E8" i="11" s="1"/>
  <c r="H2" i="11"/>
  <c r="H1" i="11"/>
  <c r="H3" i="11" s="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" i="10"/>
  <c r="C23" i="10"/>
  <c r="E12" i="15" l="1"/>
  <c r="F12" i="15" s="1"/>
  <c r="E28" i="15"/>
  <c r="F28" i="15" s="1"/>
  <c r="D32" i="15"/>
  <c r="G25" i="15" s="1"/>
  <c r="H25" i="15" s="1"/>
  <c r="E11" i="15"/>
  <c r="E22" i="15"/>
  <c r="F22" i="15" s="1"/>
  <c r="E30" i="15"/>
  <c r="F30" i="15" s="1"/>
  <c r="E19" i="15"/>
  <c r="F19" i="15" s="1"/>
  <c r="E25" i="15"/>
  <c r="F25" i="15" s="1"/>
  <c r="E14" i="15"/>
  <c r="F14" i="15" s="1"/>
  <c r="F8" i="15"/>
  <c r="E20" i="15"/>
  <c r="F20" i="15" s="1"/>
  <c r="G17" i="15"/>
  <c r="H17" i="15" s="1"/>
  <c r="E17" i="15"/>
  <c r="F17" i="15" s="1"/>
  <c r="G24" i="14"/>
  <c r="H24" i="14" s="1"/>
  <c r="G16" i="14"/>
  <c r="H16" i="14" s="1"/>
  <c r="G29" i="14"/>
  <c r="H29" i="14" s="1"/>
  <c r="G27" i="14"/>
  <c r="H27" i="14" s="1"/>
  <c r="G21" i="14"/>
  <c r="H21" i="14" s="1"/>
  <c r="G13" i="14"/>
  <c r="H13" i="14" s="1"/>
  <c r="G19" i="14"/>
  <c r="H19" i="14" s="1"/>
  <c r="G11" i="14"/>
  <c r="G25" i="14"/>
  <c r="H25" i="14" s="1"/>
  <c r="G17" i="14"/>
  <c r="H17" i="14" s="1"/>
  <c r="G26" i="14"/>
  <c r="H26" i="14" s="1"/>
  <c r="G12" i="14"/>
  <c r="H12" i="14" s="1"/>
  <c r="G31" i="14"/>
  <c r="H31" i="14" s="1"/>
  <c r="G30" i="14"/>
  <c r="H30" i="14" s="1"/>
  <c r="E32" i="14"/>
  <c r="G18" i="14"/>
  <c r="H18" i="14" s="1"/>
  <c r="G15" i="14"/>
  <c r="H15" i="14" s="1"/>
  <c r="G22" i="14"/>
  <c r="H22" i="14" s="1"/>
  <c r="F32" i="14"/>
  <c r="F8" i="14"/>
  <c r="G23" i="14"/>
  <c r="H23" i="14" s="1"/>
  <c r="G20" i="14"/>
  <c r="H20" i="14" s="1"/>
  <c r="G14" i="14"/>
  <c r="H14" i="14" s="1"/>
  <c r="D34" i="14"/>
  <c r="E34" i="14" s="1"/>
  <c r="F34" i="14" s="1"/>
  <c r="F8" i="13"/>
  <c r="E11" i="13"/>
  <c r="D32" i="13"/>
  <c r="G19" i="13" s="1"/>
  <c r="H19" i="13" s="1"/>
  <c r="E17" i="13"/>
  <c r="F17" i="13" s="1"/>
  <c r="G17" i="13"/>
  <c r="H17" i="13" s="1"/>
  <c r="E14" i="13"/>
  <c r="F14" i="13" s="1"/>
  <c r="G14" i="13"/>
  <c r="H14" i="13" s="1"/>
  <c r="E25" i="13"/>
  <c r="F25" i="13" s="1"/>
  <c r="E20" i="13"/>
  <c r="F20" i="13" s="1"/>
  <c r="E30" i="13"/>
  <c r="F30" i="13" s="1"/>
  <c r="G30" i="13"/>
  <c r="H30" i="13" s="1"/>
  <c r="G28" i="13"/>
  <c r="H28" i="13" s="1"/>
  <c r="E28" i="13"/>
  <c r="F28" i="13" s="1"/>
  <c r="G12" i="13"/>
  <c r="H12" i="13" s="1"/>
  <c r="E12" i="13"/>
  <c r="F12" i="13" s="1"/>
  <c r="E22" i="13"/>
  <c r="F22" i="13" s="1"/>
  <c r="E19" i="13"/>
  <c r="F19" i="13" s="1"/>
  <c r="D19" i="12"/>
  <c r="D21" i="12"/>
  <c r="D23" i="12"/>
  <c r="E23" i="12" s="1"/>
  <c r="F23" i="12" s="1"/>
  <c r="D11" i="12"/>
  <c r="E11" i="12" s="1"/>
  <c r="D26" i="12"/>
  <c r="E26" i="12" s="1"/>
  <c r="F26" i="12" s="1"/>
  <c r="D15" i="12"/>
  <c r="E15" i="12" s="1"/>
  <c r="F15" i="12" s="1"/>
  <c r="D27" i="12"/>
  <c r="D13" i="12"/>
  <c r="E13" i="12" s="1"/>
  <c r="F13" i="12" s="1"/>
  <c r="D16" i="12"/>
  <c r="D29" i="12"/>
  <c r="E29" i="12" s="1"/>
  <c r="D24" i="12"/>
  <c r="D18" i="12"/>
  <c r="E18" i="12" s="1"/>
  <c r="F18" i="12" s="1"/>
  <c r="D31" i="12"/>
  <c r="E31" i="12" s="1"/>
  <c r="F31" i="12" s="1"/>
  <c r="E8" i="12"/>
  <c r="E30" i="12"/>
  <c r="F29" i="12"/>
  <c r="F6" i="12"/>
  <c r="F5" i="12"/>
  <c r="F7" i="12"/>
  <c r="F30" i="12"/>
  <c r="E19" i="12"/>
  <c r="F19" i="12" s="1"/>
  <c r="E27" i="12"/>
  <c r="F27" i="12" s="1"/>
  <c r="E16" i="12"/>
  <c r="F16" i="12" s="1"/>
  <c r="E21" i="12"/>
  <c r="F21" i="12" s="1"/>
  <c r="D12" i="12"/>
  <c r="D20" i="12"/>
  <c r="D28" i="12"/>
  <c r="D17" i="12"/>
  <c r="D25" i="12"/>
  <c r="E24" i="12"/>
  <c r="F24" i="12" s="1"/>
  <c r="D14" i="12"/>
  <c r="D22" i="12"/>
  <c r="E27" i="11"/>
  <c r="F27" i="11" s="1"/>
  <c r="F5" i="11"/>
  <c r="F29" i="11"/>
  <c r="F6" i="11"/>
  <c r="F7" i="11"/>
  <c r="F23" i="11"/>
  <c r="F26" i="11"/>
  <c r="F18" i="11"/>
  <c r="E24" i="11"/>
  <c r="F24" i="11" s="1"/>
  <c r="E13" i="11"/>
  <c r="F13" i="11" s="1"/>
  <c r="E21" i="11"/>
  <c r="F21" i="11" s="1"/>
  <c r="E15" i="11"/>
  <c r="F15" i="11" s="1"/>
  <c r="E23" i="11"/>
  <c r="E31" i="11"/>
  <c r="F31" i="11" s="1"/>
  <c r="E16" i="11"/>
  <c r="F16" i="11" s="1"/>
  <c r="D23" i="10"/>
  <c r="E6" i="9"/>
  <c r="G19" i="15" l="1"/>
  <c r="H19" i="15" s="1"/>
  <c r="G11" i="15"/>
  <c r="E32" i="15"/>
  <c r="F11" i="15"/>
  <c r="F32" i="15" s="1"/>
  <c r="G21" i="15"/>
  <c r="H21" i="15" s="1"/>
  <c r="G29" i="15"/>
  <c r="H29" i="15" s="1"/>
  <c r="G24" i="15"/>
  <c r="H24" i="15" s="1"/>
  <c r="G13" i="15"/>
  <c r="H13" i="15" s="1"/>
  <c r="G18" i="15"/>
  <c r="H18" i="15" s="1"/>
  <c r="G26" i="15"/>
  <c r="H26" i="15" s="1"/>
  <c r="G15" i="15"/>
  <c r="H15" i="15" s="1"/>
  <c r="G31" i="15"/>
  <c r="H31" i="15" s="1"/>
  <c r="D34" i="15"/>
  <c r="E34" i="15" s="1"/>
  <c r="F34" i="15" s="1"/>
  <c r="G16" i="15"/>
  <c r="H16" i="15" s="1"/>
  <c r="G27" i="15"/>
  <c r="H27" i="15" s="1"/>
  <c r="G23" i="15"/>
  <c r="H23" i="15" s="1"/>
  <c r="G20" i="15"/>
  <c r="H20" i="15" s="1"/>
  <c r="G28" i="15"/>
  <c r="H28" i="15" s="1"/>
  <c r="H11" i="15"/>
  <c r="G30" i="15"/>
  <c r="H30" i="15" s="1"/>
  <c r="G14" i="15"/>
  <c r="H14" i="15" s="1"/>
  <c r="G22" i="15"/>
  <c r="H22" i="15" s="1"/>
  <c r="G12" i="15"/>
  <c r="H12" i="15" s="1"/>
  <c r="G32" i="14"/>
  <c r="H11" i="14"/>
  <c r="H32" i="14" s="1"/>
  <c r="G16" i="13"/>
  <c r="H16" i="13" s="1"/>
  <c r="G26" i="13"/>
  <c r="H26" i="13" s="1"/>
  <c r="G31" i="13"/>
  <c r="H31" i="13" s="1"/>
  <c r="G18" i="13"/>
  <c r="H18" i="13" s="1"/>
  <c r="G21" i="13"/>
  <c r="H21" i="13" s="1"/>
  <c r="G13" i="13"/>
  <c r="H13" i="13" s="1"/>
  <c r="D34" i="13"/>
  <c r="E34" i="13" s="1"/>
  <c r="F34" i="13" s="1"/>
  <c r="G24" i="13"/>
  <c r="H24" i="13" s="1"/>
  <c r="G29" i="13"/>
  <c r="H29" i="13" s="1"/>
  <c r="G27" i="13"/>
  <c r="H27" i="13" s="1"/>
  <c r="G15" i="13"/>
  <c r="H15" i="13" s="1"/>
  <c r="G23" i="13"/>
  <c r="H23" i="13" s="1"/>
  <c r="G22" i="13"/>
  <c r="H22" i="13" s="1"/>
  <c r="G20" i="13"/>
  <c r="H20" i="13" s="1"/>
  <c r="E32" i="13"/>
  <c r="F11" i="13"/>
  <c r="F32" i="13" s="1"/>
  <c r="G25" i="13"/>
  <c r="H25" i="13" s="1"/>
  <c r="G11" i="13"/>
  <c r="E20" i="12"/>
  <c r="F20" i="12" s="1"/>
  <c r="E25" i="12"/>
  <c r="F25" i="12" s="1"/>
  <c r="F8" i="12"/>
  <c r="E22" i="12"/>
  <c r="F22" i="12" s="1"/>
  <c r="E17" i="12"/>
  <c r="F17" i="12" s="1"/>
  <c r="G17" i="12"/>
  <c r="H17" i="12" s="1"/>
  <c r="E12" i="12"/>
  <c r="F12" i="12" s="1"/>
  <c r="E14" i="12"/>
  <c r="F14" i="12" s="1"/>
  <c r="F11" i="12"/>
  <c r="D32" i="12"/>
  <c r="G20" i="12" s="1"/>
  <c r="H20" i="12" s="1"/>
  <c r="E28" i="12"/>
  <c r="F28" i="12" s="1"/>
  <c r="E11" i="11"/>
  <c r="D32" i="11"/>
  <c r="G20" i="11" s="1"/>
  <c r="H20" i="11" s="1"/>
  <c r="E12" i="11"/>
  <c r="F12" i="11" s="1"/>
  <c r="E25" i="11"/>
  <c r="F25" i="11" s="1"/>
  <c r="G25" i="11"/>
  <c r="H25" i="11" s="1"/>
  <c r="E22" i="11"/>
  <c r="F22" i="11" s="1"/>
  <c r="E28" i="11"/>
  <c r="F28" i="11" s="1"/>
  <c r="E20" i="11"/>
  <c r="F20" i="11" s="1"/>
  <c r="E19" i="11"/>
  <c r="F19" i="11" s="1"/>
  <c r="G17" i="11"/>
  <c r="H17" i="11" s="1"/>
  <c r="E17" i="11"/>
  <c r="F17" i="11" s="1"/>
  <c r="E30" i="11"/>
  <c r="F30" i="11" s="1"/>
  <c r="G30" i="11"/>
  <c r="H30" i="11" s="1"/>
  <c r="E14" i="11"/>
  <c r="F14" i="11" s="1"/>
  <c r="F8" i="11"/>
  <c r="D31" i="9"/>
  <c r="D30" i="9"/>
  <c r="E30" i="9" s="1"/>
  <c r="D29" i="9"/>
  <c r="D28" i="9"/>
  <c r="E28" i="9" s="1"/>
  <c r="D27" i="9"/>
  <c r="E27" i="9" s="1"/>
  <c r="D26" i="9"/>
  <c r="D25" i="9"/>
  <c r="E25" i="9" s="1"/>
  <c r="D24" i="9"/>
  <c r="E24" i="9" s="1"/>
  <c r="D23" i="9"/>
  <c r="D22" i="9"/>
  <c r="E22" i="9" s="1"/>
  <c r="D21" i="9"/>
  <c r="E21" i="9" s="1"/>
  <c r="D20" i="9"/>
  <c r="D19" i="9"/>
  <c r="E19" i="9" s="1"/>
  <c r="D18" i="9"/>
  <c r="D17" i="9"/>
  <c r="E17" i="9" s="1"/>
  <c r="D16" i="9"/>
  <c r="D15" i="9"/>
  <c r="D14" i="9"/>
  <c r="E14" i="9" s="1"/>
  <c r="D13" i="9"/>
  <c r="D12" i="9"/>
  <c r="E12" i="9" s="1"/>
  <c r="D11" i="9"/>
  <c r="E11" i="9" s="1"/>
  <c r="F11" i="9" s="1"/>
  <c r="D8" i="9"/>
  <c r="E7" i="9"/>
  <c r="E5" i="9"/>
  <c r="H2" i="9"/>
  <c r="H1" i="9"/>
  <c r="H3" i="9" s="1"/>
  <c r="D8" i="7"/>
  <c r="D11" i="7" s="1"/>
  <c r="E11" i="7" s="1"/>
  <c r="E7" i="7"/>
  <c r="E6" i="7"/>
  <c r="E5" i="7"/>
  <c r="H2" i="7"/>
  <c r="H1" i="7"/>
  <c r="H3" i="7" s="1"/>
  <c r="H32" i="15" l="1"/>
  <c r="G32" i="15"/>
  <c r="G32" i="13"/>
  <c r="H11" i="13"/>
  <c r="H32" i="13" s="1"/>
  <c r="G28" i="12"/>
  <c r="H28" i="12" s="1"/>
  <c r="G25" i="12"/>
  <c r="H25" i="12" s="1"/>
  <c r="G14" i="12"/>
  <c r="H14" i="12" s="1"/>
  <c r="G12" i="12"/>
  <c r="H12" i="12" s="1"/>
  <c r="E32" i="12"/>
  <c r="D34" i="12"/>
  <c r="E34" i="12" s="1"/>
  <c r="F34" i="12" s="1"/>
  <c r="G23" i="12"/>
  <c r="H23" i="12" s="1"/>
  <c r="G11" i="12"/>
  <c r="G29" i="12"/>
  <c r="H29" i="12" s="1"/>
  <c r="G16" i="12"/>
  <c r="H16" i="12" s="1"/>
  <c r="G24" i="12"/>
  <c r="H24" i="12" s="1"/>
  <c r="G31" i="12"/>
  <c r="H31" i="12" s="1"/>
  <c r="G19" i="12"/>
  <c r="H19" i="12" s="1"/>
  <c r="G15" i="12"/>
  <c r="H15" i="12" s="1"/>
  <c r="G13" i="12"/>
  <c r="H13" i="12" s="1"/>
  <c r="G18" i="12"/>
  <c r="H18" i="12" s="1"/>
  <c r="G21" i="12"/>
  <c r="H21" i="12" s="1"/>
  <c r="G27" i="12"/>
  <c r="H27" i="12" s="1"/>
  <c r="G30" i="12"/>
  <c r="H30" i="12" s="1"/>
  <c r="G26" i="12"/>
  <c r="H26" i="12" s="1"/>
  <c r="F32" i="12"/>
  <c r="G22" i="12"/>
  <c r="H22" i="12" s="1"/>
  <c r="G19" i="11"/>
  <c r="H19" i="11" s="1"/>
  <c r="G12" i="11"/>
  <c r="H12" i="11" s="1"/>
  <c r="G14" i="11"/>
  <c r="H14" i="11" s="1"/>
  <c r="G16" i="11"/>
  <c r="H16" i="11" s="1"/>
  <c r="G15" i="11"/>
  <c r="H15" i="11" s="1"/>
  <c r="D34" i="11"/>
  <c r="E34" i="11" s="1"/>
  <c r="F34" i="11" s="1"/>
  <c r="G29" i="11"/>
  <c r="H29" i="11" s="1"/>
  <c r="G23" i="11"/>
  <c r="H23" i="11" s="1"/>
  <c r="G31" i="11"/>
  <c r="H31" i="11" s="1"/>
  <c r="G24" i="11"/>
  <c r="H24" i="11" s="1"/>
  <c r="G27" i="11"/>
  <c r="H27" i="11" s="1"/>
  <c r="G13" i="11"/>
  <c r="H13" i="11" s="1"/>
  <c r="G18" i="11"/>
  <c r="H18" i="11" s="1"/>
  <c r="G21" i="11"/>
  <c r="H21" i="11" s="1"/>
  <c r="G26" i="11"/>
  <c r="H26" i="11" s="1"/>
  <c r="G28" i="11"/>
  <c r="H28" i="11" s="1"/>
  <c r="G11" i="11"/>
  <c r="G22" i="11"/>
  <c r="H22" i="11" s="1"/>
  <c r="E32" i="11"/>
  <c r="F11" i="11"/>
  <c r="F32" i="11" s="1"/>
  <c r="E20" i="9"/>
  <c r="F20" i="9" s="1"/>
  <c r="D32" i="9"/>
  <c r="G26" i="9" s="1"/>
  <c r="H26" i="9" s="1"/>
  <c r="E8" i="9"/>
  <c r="G15" i="9"/>
  <c r="H15" i="9" s="1"/>
  <c r="G28" i="9"/>
  <c r="H28" i="9" s="1"/>
  <c r="G27" i="9"/>
  <c r="H27" i="9" s="1"/>
  <c r="G30" i="9"/>
  <c r="H30" i="9" s="1"/>
  <c r="G17" i="9"/>
  <c r="H17" i="9" s="1"/>
  <c r="F25" i="9"/>
  <c r="F17" i="9"/>
  <c r="F5" i="9"/>
  <c r="F21" i="9"/>
  <c r="F7" i="9"/>
  <c r="F22" i="9"/>
  <c r="F14" i="9"/>
  <c r="F28" i="9"/>
  <c r="F12" i="9"/>
  <c r="F27" i="9"/>
  <c r="F6" i="9"/>
  <c r="F30" i="9"/>
  <c r="F24" i="9"/>
  <c r="F16" i="9"/>
  <c r="F19" i="9"/>
  <c r="E16" i="9"/>
  <c r="E13" i="9"/>
  <c r="E29" i="9"/>
  <c r="F29" i="9" s="1"/>
  <c r="G16" i="9"/>
  <c r="H16" i="9" s="1"/>
  <c r="G24" i="9"/>
  <c r="H24" i="9" s="1"/>
  <c r="E15" i="9"/>
  <c r="F15" i="9" s="1"/>
  <c r="E23" i="9"/>
  <c r="F23" i="9" s="1"/>
  <c r="E31" i="9"/>
  <c r="F31" i="9" s="1"/>
  <c r="E18" i="9"/>
  <c r="F18" i="9" s="1"/>
  <c r="E26" i="9"/>
  <c r="F26" i="9" s="1"/>
  <c r="E8" i="7"/>
  <c r="F5" i="7"/>
  <c r="F7" i="7"/>
  <c r="F6" i="7"/>
  <c r="F34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32" i="1" s="1"/>
  <c r="H2" i="1"/>
  <c r="H1" i="1"/>
  <c r="H3" i="1" s="1"/>
  <c r="F26" i="5"/>
  <c r="F5" i="5"/>
  <c r="H2" i="5"/>
  <c r="H1" i="5"/>
  <c r="H3" i="5" s="1"/>
  <c r="F34" i="2"/>
  <c r="F11" i="2"/>
  <c r="F8" i="2"/>
  <c r="F3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3" i="2"/>
  <c r="F12" i="2"/>
  <c r="F6" i="2"/>
  <c r="F7" i="2"/>
  <c r="F5" i="2"/>
  <c r="H3" i="2"/>
  <c r="H2" i="2"/>
  <c r="H1" i="2"/>
  <c r="D12" i="5"/>
  <c r="E12" i="5" s="1"/>
  <c r="F12" i="5" s="1"/>
  <c r="D18" i="5"/>
  <c r="E18" i="5" s="1"/>
  <c r="F18" i="5" s="1"/>
  <c r="D19" i="5"/>
  <c r="E19" i="5" s="1"/>
  <c r="F19" i="5" s="1"/>
  <c r="D20" i="5"/>
  <c r="E20" i="5" s="1"/>
  <c r="F20" i="5" s="1"/>
  <c r="D26" i="5"/>
  <c r="E26" i="5" s="1"/>
  <c r="D27" i="5"/>
  <c r="E27" i="5" s="1"/>
  <c r="F27" i="5" s="1"/>
  <c r="D28" i="5"/>
  <c r="E28" i="5" s="1"/>
  <c r="F28" i="5" s="1"/>
  <c r="D3" i="6"/>
  <c r="D12" i="7" s="1"/>
  <c r="D4" i="6"/>
  <c r="D13" i="7" s="1"/>
  <c r="E13" i="7" s="1"/>
  <c r="F13" i="7" s="1"/>
  <c r="D5" i="6"/>
  <c r="D14" i="7" s="1"/>
  <c r="D6" i="6"/>
  <c r="D15" i="7" s="1"/>
  <c r="E15" i="7" s="1"/>
  <c r="F15" i="7" s="1"/>
  <c r="D9" i="6"/>
  <c r="D18" i="7" s="1"/>
  <c r="E18" i="7" s="1"/>
  <c r="F18" i="7" s="1"/>
  <c r="D10" i="6"/>
  <c r="D19" i="7" s="1"/>
  <c r="D11" i="6"/>
  <c r="D20" i="7" s="1"/>
  <c r="D12" i="6"/>
  <c r="D21" i="7" s="1"/>
  <c r="E21" i="7" s="1"/>
  <c r="F21" i="7" s="1"/>
  <c r="D13" i="6"/>
  <c r="D22" i="7" s="1"/>
  <c r="D14" i="6"/>
  <c r="D23" i="7" s="1"/>
  <c r="E23" i="7" s="1"/>
  <c r="F23" i="7" s="1"/>
  <c r="D17" i="6"/>
  <c r="D26" i="7" s="1"/>
  <c r="E26" i="7" s="1"/>
  <c r="F26" i="7" s="1"/>
  <c r="D18" i="6"/>
  <c r="D27" i="7" s="1"/>
  <c r="E27" i="7" s="1"/>
  <c r="F27" i="7" s="1"/>
  <c r="D19" i="6"/>
  <c r="D28" i="7" s="1"/>
  <c r="D20" i="6"/>
  <c r="D29" i="7" s="1"/>
  <c r="E29" i="7" s="1"/>
  <c r="F29" i="7" s="1"/>
  <c r="D21" i="6"/>
  <c r="D30" i="7" s="1"/>
  <c r="D22" i="6"/>
  <c r="D31" i="7" s="1"/>
  <c r="E31" i="7" s="1"/>
  <c r="F31" i="7" s="1"/>
  <c r="C23" i="6"/>
  <c r="D7" i="6" s="1"/>
  <c r="D8" i="5"/>
  <c r="E7" i="5"/>
  <c r="E6" i="5"/>
  <c r="E8" i="5" s="1"/>
  <c r="E5" i="5"/>
  <c r="D34" i="1"/>
  <c r="E27" i="1"/>
  <c r="G32" i="12" l="1"/>
  <c r="H11" i="12"/>
  <c r="H32" i="12" s="1"/>
  <c r="H11" i="11"/>
  <c r="H32" i="11" s="1"/>
  <c r="G32" i="11"/>
  <c r="E32" i="9"/>
  <c r="G29" i="9"/>
  <c r="H29" i="9" s="1"/>
  <c r="G14" i="9"/>
  <c r="H14" i="9" s="1"/>
  <c r="G13" i="9"/>
  <c r="H13" i="9" s="1"/>
  <c r="G25" i="9"/>
  <c r="H25" i="9" s="1"/>
  <c r="G31" i="9"/>
  <c r="H31" i="9" s="1"/>
  <c r="F13" i="9"/>
  <c r="F32" i="9" s="1"/>
  <c r="G22" i="9"/>
  <c r="H22" i="9" s="1"/>
  <c r="D34" i="9"/>
  <c r="E34" i="9" s="1"/>
  <c r="F34" i="9" s="1"/>
  <c r="G21" i="9"/>
  <c r="H21" i="9" s="1"/>
  <c r="G12" i="9"/>
  <c r="H12" i="9" s="1"/>
  <c r="G11" i="9"/>
  <c r="G18" i="9"/>
  <c r="H18" i="9" s="1"/>
  <c r="G20" i="9"/>
  <c r="H20" i="9" s="1"/>
  <c r="G19" i="9"/>
  <c r="H19" i="9" s="1"/>
  <c r="G23" i="9"/>
  <c r="H23" i="9" s="1"/>
  <c r="F8" i="9"/>
  <c r="D16" i="7"/>
  <c r="E16" i="7" s="1"/>
  <c r="F16" i="7" s="1"/>
  <c r="D16" i="5"/>
  <c r="E16" i="5" s="1"/>
  <c r="F16" i="5" s="1"/>
  <c r="D31" i="5"/>
  <c r="E31" i="5" s="1"/>
  <c r="F31" i="5" s="1"/>
  <c r="D16" i="6"/>
  <c r="D8" i="6"/>
  <c r="D30" i="5"/>
  <c r="E30" i="5" s="1"/>
  <c r="F30" i="5" s="1"/>
  <c r="D22" i="5"/>
  <c r="E22" i="5" s="1"/>
  <c r="F22" i="5" s="1"/>
  <c r="D14" i="5"/>
  <c r="E14" i="5" s="1"/>
  <c r="F14" i="5" s="1"/>
  <c r="D23" i="5"/>
  <c r="E23" i="5" s="1"/>
  <c r="F23" i="5" s="1"/>
  <c r="D15" i="5"/>
  <c r="E15" i="5" s="1"/>
  <c r="F15" i="5" s="1"/>
  <c r="D2" i="6"/>
  <c r="D15" i="6"/>
  <c r="D29" i="5"/>
  <c r="E29" i="5" s="1"/>
  <c r="F29" i="5" s="1"/>
  <c r="D21" i="5"/>
  <c r="E21" i="5" s="1"/>
  <c r="F21" i="5" s="1"/>
  <c r="D13" i="5"/>
  <c r="E13" i="5" s="1"/>
  <c r="F13" i="5" s="1"/>
  <c r="E22" i="7"/>
  <c r="F22" i="7" s="1"/>
  <c r="E20" i="7"/>
  <c r="F20" i="7" s="1"/>
  <c r="E19" i="7"/>
  <c r="F19" i="7" s="1"/>
  <c r="E12" i="7"/>
  <c r="F12" i="7" s="1"/>
  <c r="E14" i="7"/>
  <c r="F14" i="7" s="1"/>
  <c r="E30" i="7"/>
  <c r="F30" i="7" s="1"/>
  <c r="E28" i="7"/>
  <c r="F28" i="7" s="1"/>
  <c r="F8" i="7"/>
  <c r="F5" i="1"/>
  <c r="F7" i="1"/>
  <c r="F6" i="1"/>
  <c r="F7" i="5"/>
  <c r="F6" i="5"/>
  <c r="E11" i="2"/>
  <c r="H32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1" i="1"/>
  <c r="D23" i="3"/>
  <c r="C23" i="3"/>
  <c r="E12" i="2"/>
  <c r="E13" i="2"/>
  <c r="E14" i="2"/>
  <c r="E16" i="2"/>
  <c r="E20" i="2"/>
  <c r="E21" i="2"/>
  <c r="E22" i="2"/>
  <c r="E24" i="2"/>
  <c r="E28" i="2"/>
  <c r="E29" i="2"/>
  <c r="E30" i="2"/>
  <c r="D31" i="2"/>
  <c r="E31" i="2" s="1"/>
  <c r="D30" i="2"/>
  <c r="D29" i="2"/>
  <c r="D28" i="2"/>
  <c r="D27" i="2"/>
  <c r="E27" i="2" s="1"/>
  <c r="D26" i="2"/>
  <c r="E26" i="2" s="1"/>
  <c r="D25" i="2"/>
  <c r="E25" i="2" s="1"/>
  <c r="D24" i="2"/>
  <c r="D23" i="2"/>
  <c r="E23" i="2" s="1"/>
  <c r="D22" i="2"/>
  <c r="D21" i="2"/>
  <c r="D20" i="2"/>
  <c r="D19" i="2"/>
  <c r="E19" i="2" s="1"/>
  <c r="D18" i="2"/>
  <c r="E18" i="2" s="1"/>
  <c r="D17" i="2"/>
  <c r="E17" i="2" s="1"/>
  <c r="D16" i="2"/>
  <c r="D15" i="2"/>
  <c r="E15" i="2" s="1"/>
  <c r="D14" i="2"/>
  <c r="D13" i="2"/>
  <c r="D12" i="2"/>
  <c r="D11" i="2"/>
  <c r="G11" i="1"/>
  <c r="G31" i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G32" i="9" l="1"/>
  <c r="H11" i="9"/>
  <c r="H32" i="9" s="1"/>
  <c r="D17" i="7"/>
  <c r="E17" i="7" s="1"/>
  <c r="F17" i="7" s="1"/>
  <c r="D17" i="5"/>
  <c r="E17" i="5" s="1"/>
  <c r="F17" i="5" s="1"/>
  <c r="D24" i="7"/>
  <c r="E24" i="7" s="1"/>
  <c r="F24" i="7" s="1"/>
  <c r="D24" i="5"/>
  <c r="D25" i="7"/>
  <c r="E25" i="7" s="1"/>
  <c r="F25" i="7" s="1"/>
  <c r="D25" i="5"/>
  <c r="E25" i="5" s="1"/>
  <c r="F25" i="5" s="1"/>
  <c r="D23" i="6"/>
  <c r="D11" i="5"/>
  <c r="F8" i="1"/>
  <c r="F8" i="5"/>
  <c r="D32" i="2"/>
  <c r="E32" i="2"/>
  <c r="E8" i="2"/>
  <c r="D8" i="2"/>
  <c r="E7" i="2"/>
  <c r="E6" i="2"/>
  <c r="E5" i="2"/>
  <c r="E32" i="1"/>
  <c r="E34" i="1"/>
  <c r="G3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11" i="1"/>
  <c r="E6" i="1"/>
  <c r="E7" i="1"/>
  <c r="E5" i="1"/>
  <c r="E8" i="1" s="1"/>
  <c r="D8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D32" i="1"/>
  <c r="E24" i="5" l="1"/>
  <c r="F24" i="5" s="1"/>
  <c r="E11" i="5"/>
  <c r="D32" i="5"/>
  <c r="D32" i="7"/>
  <c r="D34" i="2"/>
  <c r="E34" i="2" s="1"/>
  <c r="G31" i="2"/>
  <c r="H31" i="2" s="1"/>
  <c r="G11" i="2"/>
  <c r="H11" i="2" s="1"/>
  <c r="G13" i="2"/>
  <c r="H13" i="2" s="1"/>
  <c r="G21" i="2"/>
  <c r="H21" i="2" s="1"/>
  <c r="G29" i="2"/>
  <c r="H29" i="2" s="1"/>
  <c r="G15" i="2"/>
  <c r="H15" i="2" s="1"/>
  <c r="G16" i="2"/>
  <c r="H16" i="2" s="1"/>
  <c r="G17" i="2"/>
  <c r="H17" i="2" s="1"/>
  <c r="G18" i="2"/>
  <c r="H18" i="2" s="1"/>
  <c r="G12" i="2"/>
  <c r="H12" i="2" s="1"/>
  <c r="G14" i="2"/>
  <c r="H14" i="2" s="1"/>
  <c r="G22" i="2"/>
  <c r="H22" i="2" s="1"/>
  <c r="G30" i="2"/>
  <c r="H30" i="2" s="1"/>
  <c r="G23" i="2"/>
  <c r="H23" i="2" s="1"/>
  <c r="G24" i="2"/>
  <c r="H24" i="2" s="1"/>
  <c r="G25" i="2"/>
  <c r="H25" i="2" s="1"/>
  <c r="G26" i="2"/>
  <c r="H26" i="2" s="1"/>
  <c r="G20" i="2"/>
  <c r="H20" i="2" s="1"/>
  <c r="G19" i="2"/>
  <c r="H19" i="2" s="1"/>
  <c r="G27" i="2"/>
  <c r="H27" i="2" s="1"/>
  <c r="G28" i="2"/>
  <c r="H28" i="2" s="1"/>
  <c r="G30" i="5" l="1"/>
  <c r="H30" i="5" s="1"/>
  <c r="G29" i="5"/>
  <c r="H29" i="5" s="1"/>
  <c r="G27" i="5"/>
  <c r="H27" i="5" s="1"/>
  <c r="G19" i="5"/>
  <c r="H19" i="5" s="1"/>
  <c r="G21" i="5"/>
  <c r="H21" i="5" s="1"/>
  <c r="G26" i="5"/>
  <c r="H26" i="5" s="1"/>
  <c r="G15" i="5"/>
  <c r="H15" i="5" s="1"/>
  <c r="G17" i="5"/>
  <c r="H17" i="5" s="1"/>
  <c r="G23" i="5"/>
  <c r="H23" i="5" s="1"/>
  <c r="G22" i="5"/>
  <c r="H22" i="5" s="1"/>
  <c r="D34" i="5"/>
  <c r="E34" i="5" s="1"/>
  <c r="F34" i="5" s="1"/>
  <c r="G18" i="5"/>
  <c r="H18" i="5" s="1"/>
  <c r="G28" i="5"/>
  <c r="H28" i="5" s="1"/>
  <c r="G20" i="5"/>
  <c r="H20" i="5" s="1"/>
  <c r="G14" i="5"/>
  <c r="H14" i="5" s="1"/>
  <c r="G31" i="5"/>
  <c r="H31" i="5" s="1"/>
  <c r="G16" i="5"/>
  <c r="H16" i="5" s="1"/>
  <c r="G13" i="5"/>
  <c r="H13" i="5" s="1"/>
  <c r="G12" i="5"/>
  <c r="H12" i="5" s="1"/>
  <c r="G11" i="5"/>
  <c r="F11" i="5"/>
  <c r="F32" i="5" s="1"/>
  <c r="E32" i="5"/>
  <c r="G25" i="5"/>
  <c r="H25" i="5" s="1"/>
  <c r="G18" i="7"/>
  <c r="H18" i="7" s="1"/>
  <c r="G31" i="7"/>
  <c r="H31" i="7" s="1"/>
  <c r="G28" i="7"/>
  <c r="H28" i="7" s="1"/>
  <c r="G14" i="7"/>
  <c r="H14" i="7" s="1"/>
  <c r="G27" i="7"/>
  <c r="H27" i="7" s="1"/>
  <c r="G30" i="7"/>
  <c r="H30" i="7" s="1"/>
  <c r="G24" i="7"/>
  <c r="H24" i="7" s="1"/>
  <c r="G15" i="7"/>
  <c r="H15" i="7" s="1"/>
  <c r="G20" i="7"/>
  <c r="H20" i="7" s="1"/>
  <c r="D34" i="7"/>
  <c r="E34" i="7" s="1"/>
  <c r="F34" i="7" s="1"/>
  <c r="G19" i="7"/>
  <c r="H19" i="7" s="1"/>
  <c r="G17" i="7"/>
  <c r="H17" i="7" s="1"/>
  <c r="G21" i="7"/>
  <c r="H21" i="7" s="1"/>
  <c r="G22" i="7"/>
  <c r="H22" i="7" s="1"/>
  <c r="G13" i="7"/>
  <c r="H13" i="7" s="1"/>
  <c r="G12" i="7"/>
  <c r="H12" i="7" s="1"/>
  <c r="G16" i="7"/>
  <c r="H16" i="7" s="1"/>
  <c r="G26" i="7"/>
  <c r="H26" i="7" s="1"/>
  <c r="G23" i="7"/>
  <c r="H23" i="7" s="1"/>
  <c r="G29" i="7"/>
  <c r="H29" i="7" s="1"/>
  <c r="G25" i="7"/>
  <c r="H25" i="7" s="1"/>
  <c r="E32" i="7"/>
  <c r="F11" i="7"/>
  <c r="F32" i="7" s="1"/>
  <c r="G24" i="5"/>
  <c r="H24" i="5" s="1"/>
  <c r="G11" i="7"/>
  <c r="H32" i="2"/>
  <c r="G32" i="2"/>
  <c r="G32" i="7" l="1"/>
  <c r="H11" i="7"/>
  <c r="H32" i="7" s="1"/>
  <c r="H11" i="5"/>
  <c r="H32" i="5" s="1"/>
  <c r="G32" i="5"/>
</calcChain>
</file>

<file path=xl/sharedStrings.xml><?xml version="1.0" encoding="utf-8"?>
<sst xmlns="http://schemas.openxmlformats.org/spreadsheetml/2006/main" count="485" uniqueCount="42">
  <si>
    <t>America Canyon, City of</t>
  </si>
  <si>
    <t>Antelope Valley-East Kern Water Agency</t>
  </si>
  <si>
    <t>Carter Mutual Water Company</t>
  </si>
  <si>
    <t>Coachella Valley Water District</t>
  </si>
  <si>
    <t>Colusa County</t>
  </si>
  <si>
    <t>Colusa County Water District</t>
  </si>
  <si>
    <t>Desert Water Agency</t>
  </si>
  <si>
    <t>Glenn-Colusa Irrigation District</t>
  </si>
  <si>
    <t>Metropolitan Water District of So. California</t>
  </si>
  <si>
    <t>Reclamation District 108</t>
  </si>
  <si>
    <t>San Bernardino Valley Municipal Water District</t>
  </si>
  <si>
    <t>San Gorgonio Pass Water Agency</t>
  </si>
  <si>
    <t>Santa Clara Valley Water District</t>
  </si>
  <si>
    <t>Santa Clarita Water Agency</t>
  </si>
  <si>
    <t>TC-4 Cortina Water District</t>
  </si>
  <si>
    <t>TC-4 Davis Water District</t>
  </si>
  <si>
    <t>TC-4 Dunnigan Water District</t>
  </si>
  <si>
    <t>TC-4 LaGrange Water District</t>
  </si>
  <si>
    <t>Westside Water District</t>
  </si>
  <si>
    <t>Wheeler Ridge-Maricopa Water Storage District</t>
  </si>
  <si>
    <t xml:space="preserve">Zone 7 Water Agency </t>
  </si>
  <si>
    <t>USBR – Anadromous Fish &amp; Operations flexibility</t>
  </si>
  <si>
    <t>CWC/CDFW – Wildlife Refuge – Level 4</t>
  </si>
  <si>
    <t>CWC/ CDFW – Delta Smelt – Yolo Bypass</t>
  </si>
  <si>
    <t>% Active Storage</t>
  </si>
  <si>
    <t>Storage Allocation (AF)</t>
  </si>
  <si>
    <t>Participation %</t>
  </si>
  <si>
    <t>Total Active Storage Available (AF)</t>
  </si>
  <si>
    <t>Enviromental Storage Partners</t>
  </si>
  <si>
    <t>Water User Storage Partners</t>
  </si>
  <si>
    <t>Enviromenal Total</t>
  </si>
  <si>
    <t>Water User Total</t>
  </si>
  <si>
    <t>Participant</t>
  </si>
  <si>
    <t>Estimated Deliveries (AF)</t>
  </si>
  <si>
    <t>Water Supply %</t>
  </si>
  <si>
    <t>Weighted Voting %</t>
  </si>
  <si>
    <t>Total</t>
  </si>
  <si>
    <t>Capital Cost Share</t>
  </si>
  <si>
    <t>Non Water PB Funding</t>
  </si>
  <si>
    <t>Water Capital Cost</t>
  </si>
  <si>
    <t>Capital Cost</t>
  </si>
  <si>
    <t>Unallocated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</si>
</sst>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0" applyNumberFormat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>
      <alignment horizontal="right" vertical="center"/>
    </xf>
    <xf numFmtId="10" fontId="0" fillId="0" borderId="0" xfId="1" applyNumberFormat="1" applyFont="1"/>
    <xf numFmtId="165" fontId="0" fillId="0" borderId="0" xfId="2" applyNumberFormat="1" applyFont="1"/>
    <xf numFmtId="165" fontId="2" fillId="0" borderId="0" xfId="2" applyNumberFormat="1" applyFont="1"/>
    <xf numFmtId="4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37" fontId="0" fillId="0" borderId="0" xfId="0" applyNumberFormat="1"/>
    <xf numFmtId="0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EC0D76-6508-4B1E-8BC1-FFFFC72AAEEB}"/>
            </a:ext>
          </a:extLst>
        </xdr:cNvPr>
        <xdr:cNvSpPr txBox="1"/>
      </xdr:nvSpPr>
      <xdr:spPr>
        <a:xfrm>
          <a:off x="1219200" y="6667500"/>
          <a:ext cx="75152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Jerry</a:t>
          </a:r>
          <a:r>
            <a:rPr lang="en-US" sz="1100" baseline="0"/>
            <a:t>'s original Strawman proposal (Table 1), with the following changes:</a:t>
          </a:r>
        </a:p>
        <a:p>
          <a:r>
            <a:rPr lang="en-US" sz="1100"/>
            <a:t>-Updated “Storage Allocation” column so that the units were all expressed in AF values correctly.</a:t>
          </a:r>
        </a:p>
        <a:p>
          <a:r>
            <a:rPr lang="en-US" sz="1100"/>
            <a:t>-Updated “% Active Storage” column so Water User values were in terms of 1,750 TAF as opposed to 1,100 TAF.</a:t>
          </a:r>
        </a:p>
        <a:p>
          <a:r>
            <a:rPr lang="en-US" sz="1100"/>
            <a:t>-</a:t>
          </a:r>
          <a:r>
            <a:rPr lang="en-US" sz="1100" baseline="0"/>
            <a:t>Added additional columns to show how this would impact expected capital costs and vote share in the Reservoir Committee</a:t>
          </a:r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581025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AC8C7F-E6E7-47AD-9C57-DD916DF33826}"/>
            </a:ext>
          </a:extLst>
        </xdr:cNvPr>
        <xdr:cNvSpPr txBox="1"/>
      </xdr:nvSpPr>
      <xdr:spPr>
        <a:xfrm>
          <a:off x="1219200" y="6667500"/>
          <a:ext cx="75152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Eric's reimagioning</a:t>
          </a:r>
          <a:r>
            <a:rPr lang="en-US" sz="1100" baseline="0"/>
            <a:t> of Table 1 from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Jerry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's original Strawman proposal.  In this version.  Storage is allocated based on estimated deliveries in Exhibit A of the 2019 Project Agreement, assuming total project deviveries equal 500,000 acre-feet (original basis of participation).</a:t>
          </a:r>
          <a:endParaRPr lang="en-US" sz="1100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581025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558BF9-23CA-43FF-BAB7-CE75C4F9C31C}"/>
            </a:ext>
          </a:extLst>
        </xdr:cNvPr>
        <xdr:cNvSpPr txBox="1"/>
      </xdr:nvSpPr>
      <xdr:spPr>
        <a:xfrm>
          <a:off x="1219200" y="6667500"/>
          <a:ext cx="74485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Eric's reimagioning</a:t>
          </a:r>
          <a:r>
            <a:rPr lang="en-US" sz="1100" baseline="0"/>
            <a:t> of Table 1 from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Jerry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's original Strawman proposal.  In this version.  Storage is allocated based on estimated deliveries in Exhibit A of the 2019 Project Agreement, assuming total project deviveries equal 500,000 acre-feet (original basis of participation).</a:t>
          </a:r>
          <a:endParaRPr lang="en-US" sz="1100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581025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AE5F5D-40DA-4284-B8A4-8A18A2D6DB9A}"/>
            </a:ext>
          </a:extLst>
        </xdr:cNvPr>
        <xdr:cNvSpPr txBox="1"/>
      </xdr:nvSpPr>
      <xdr:spPr>
        <a:xfrm>
          <a:off x="1219200" y="6667500"/>
          <a:ext cx="74485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Eric's reimagioning</a:t>
          </a:r>
          <a:r>
            <a:rPr lang="en-US" sz="1100" baseline="0"/>
            <a:t> of Table 1 from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Jerry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's original Strawman proposal.  In this version.  Storage is allocated based on estimated deliveries in Exhibit A of the 2019 Project Agreement, assuming total project deviveries equal 500,000 acre-feet (original basis of participation).</a:t>
          </a:r>
          <a:endParaRPr lang="en-US" sz="1100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590550</xdr:colOff>
      <xdr:row>21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7A90E1-2D56-4574-BEB5-596DF09CD6F0}"/>
            </a:ext>
          </a:extLst>
        </xdr:cNvPr>
        <xdr:cNvSpPr txBox="1"/>
      </xdr:nvSpPr>
      <xdr:spPr>
        <a:xfrm>
          <a:off x="7343775" y="190500"/>
          <a:ext cx="3638550" cy="3838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Estimated</a:t>
          </a:r>
          <a:r>
            <a:rPr lang="en-US" sz="1100" baseline="0"/>
            <a:t> Deliveries Per Exhibit A in the 2019 Phase 2 Project Agreement.</a:t>
          </a:r>
        </a:p>
        <a:p>
          <a:endParaRPr lang="en-US" sz="1100" baseline="0"/>
        </a:p>
        <a:p>
          <a:r>
            <a:rPr lang="en-US" sz="1100" baseline="0"/>
            <a:t>Total Water Supply assumed to be 500,000 acre-feet per year (i.e. orginal basis of participation)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4BAB38-FD61-4C4A-9073-61E6B8808D79}"/>
            </a:ext>
          </a:extLst>
        </xdr:cNvPr>
        <xdr:cNvSpPr txBox="1"/>
      </xdr:nvSpPr>
      <xdr:spPr>
        <a:xfrm>
          <a:off x="1219200" y="6667500"/>
          <a:ext cx="75152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A6F290-E3FB-4028-BA4B-D9E99EDBF8A8}"/>
            </a:ext>
          </a:extLst>
        </xdr:cNvPr>
        <xdr:cNvSpPr txBox="1"/>
      </xdr:nvSpPr>
      <xdr:spPr>
        <a:xfrm>
          <a:off x="1219200" y="6667500"/>
          <a:ext cx="75914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AD2CE6-894C-46B1-B10B-197B33709232}"/>
            </a:ext>
          </a:extLst>
        </xdr:cNvPr>
        <xdr:cNvSpPr txBox="1"/>
      </xdr:nvSpPr>
      <xdr:spPr>
        <a:xfrm>
          <a:off x="1219200" y="6667500"/>
          <a:ext cx="75914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590550</xdr:colOff>
      <xdr:row>21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D315CB-D759-4410-8006-8943B451639E}"/>
            </a:ext>
          </a:extLst>
        </xdr:cNvPr>
        <xdr:cNvSpPr txBox="1"/>
      </xdr:nvSpPr>
      <xdr:spPr>
        <a:xfrm>
          <a:off x="7343775" y="190500"/>
          <a:ext cx="3638550" cy="3838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Estimated</a:t>
          </a:r>
          <a:r>
            <a:rPr lang="en-US" sz="1100" baseline="0"/>
            <a:t> Deliveries Per Exhibit A in the 2019 Phase 2 Project Agreement.</a:t>
          </a:r>
        </a:p>
        <a:p>
          <a:endParaRPr lang="en-US" sz="1100" baseline="0"/>
        </a:p>
        <a:p>
          <a:r>
            <a:rPr lang="en-US" sz="1100" baseline="0"/>
            <a:t>Total Water Supply assumed to be 192,892 acre-feet per year after subtracking State/Fed Share.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0B5074-9A06-48D3-8A3E-BC62D3E59001}"/>
            </a:ext>
          </a:extLst>
        </xdr:cNvPr>
        <xdr:cNvSpPr txBox="1"/>
      </xdr:nvSpPr>
      <xdr:spPr>
        <a:xfrm>
          <a:off x="1219200" y="6667500"/>
          <a:ext cx="75914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AE070E-E9D6-4F0B-9AF9-41BCEEC86CFD}"/>
            </a:ext>
          </a:extLst>
        </xdr:cNvPr>
        <xdr:cNvSpPr txBox="1"/>
      </xdr:nvSpPr>
      <xdr:spPr>
        <a:xfrm>
          <a:off x="1219200" y="6667500"/>
          <a:ext cx="75914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723900</xdr:colOff>
      <xdr:row>43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842C43-1B35-4C08-9E87-86DE0755807B}"/>
            </a:ext>
          </a:extLst>
        </xdr:cNvPr>
        <xdr:cNvSpPr txBox="1"/>
      </xdr:nvSpPr>
      <xdr:spPr>
        <a:xfrm>
          <a:off x="1219200" y="6667500"/>
          <a:ext cx="75914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Based on JJv1</a:t>
          </a:r>
          <a:r>
            <a:rPr lang="en-US" sz="1100" baseline="0"/>
            <a:t>(with edits), but modified based on conversation with Jerry during the conference call on Wednesday 6/5/2019.  Storage is now based on Exhibit A in the 2019 Project agreement and assumes all the storage not taken by Public benefit would be divided amongts the current participation equally.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590550</xdr:colOff>
      <xdr:row>21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AE8101-8A78-4F8D-86A6-569BAD67B7AC}"/>
            </a:ext>
          </a:extLst>
        </xdr:cNvPr>
        <xdr:cNvSpPr txBox="1"/>
      </xdr:nvSpPr>
      <xdr:spPr>
        <a:xfrm>
          <a:off x="7343775" y="190500"/>
          <a:ext cx="3638550" cy="3838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Estimated</a:t>
          </a:r>
          <a:r>
            <a:rPr lang="en-US" sz="1100" baseline="0"/>
            <a:t> Deliveries Per Exhibit A in the 2019 Phase 2 Project Agreement.</a:t>
          </a:r>
        </a:p>
        <a:p>
          <a:endParaRPr lang="en-US" sz="1100" baseline="0"/>
        </a:p>
        <a:p>
          <a:r>
            <a:rPr lang="en-US" sz="1100" baseline="0"/>
            <a:t>Total Water Supply assumed to be 250,000 acre-feet per year after subtracking State/Fed Share.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workbookViewId="0">
      <selection activeCell="G35" sqref="G35"/>
    </sheetView>
  </sheetViews>
  <sheetFormatPr defaultRowHeight="15" x14ac:dyDescent="0.25"/>
  <cols>
    <col min="3" max="3" width="48.42578125" bestFit="1" customWidth="1"/>
    <col min="4" max="4" width="21.7109375" bestFit="1" customWidth="1"/>
    <col min="5" max="5" width="15.85546875" bestFit="1" customWidth="1"/>
    <col min="6" max="6" width="17" bestFit="1" customWidth="1"/>
    <col min="7" max="7" width="21.42578125" bestFit="1" customWidth="1"/>
    <col min="8" max="8" width="18.42578125" bestFit="1" customWidth="1"/>
    <col min="9" max="9" width="10.28515625" bestFit="1" customWidth="1"/>
    <col min="10" max="10" width="4.28515625" bestFit="1" customWidth="1"/>
    <col min="11" max="11" width="3.5703125" bestFit="1" customWidth="1"/>
    <col min="12" max="12" width="13" bestFit="1" customWidth="1"/>
    <col min="13" max="13" width="12.28515625" bestFit="1" customWidth="1"/>
  </cols>
  <sheetData>
    <row r="1" spans="3:8" x14ac:dyDescent="0.25">
      <c r="C1" s="3" t="s">
        <v>27</v>
      </c>
      <c r="D1" s="4">
        <v>1750000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440000</v>
      </c>
      <c r="E5" s="11">
        <f>D5/$D$1</f>
        <v>0.25142857142857145</v>
      </c>
      <c r="F5" s="18">
        <f>$H$3*E5</f>
        <v>1247085714.2857144</v>
      </c>
    </row>
    <row r="6" spans="3:8" x14ac:dyDescent="0.25">
      <c r="C6" t="s">
        <v>22</v>
      </c>
      <c r="D6" s="2">
        <v>90000</v>
      </c>
      <c r="E6" s="11">
        <f t="shared" ref="E6:E7" si="0">D6/$D$1</f>
        <v>5.1428571428571428E-2</v>
      </c>
      <c r="F6" s="18">
        <f t="shared" ref="F6:F7" si="1">$H$3*E6</f>
        <v>255085714.28571427</v>
      </c>
      <c r="H6" s="17"/>
    </row>
    <row r="7" spans="3:8" x14ac:dyDescent="0.25">
      <c r="C7" t="s">
        <v>23</v>
      </c>
      <c r="D7" s="2">
        <v>120000</v>
      </c>
      <c r="E7" s="11">
        <f t="shared" si="0"/>
        <v>6.8571428571428575E-2</v>
      </c>
      <c r="F7" s="18">
        <f t="shared" si="1"/>
        <v>340114285.71428573</v>
      </c>
    </row>
    <row r="8" spans="3:8" x14ac:dyDescent="0.25">
      <c r="C8" s="7" t="s">
        <v>30</v>
      </c>
      <c r="D8" s="4">
        <f>SUM(D5:D7)</f>
        <v>650000</v>
      </c>
      <c r="E8" s="9">
        <f>SUM(E5:E7)</f>
        <v>0.37142857142857144</v>
      </c>
      <c r="F8" s="19">
        <f>SUM(F5:F7)</f>
        <v>1842285714.2857146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v>22000</v>
      </c>
      <c r="E11" s="8">
        <f t="shared" ref="E11:E31" si="2">D11/$D$1</f>
        <v>1.2571428571428572E-2</v>
      </c>
      <c r="F11" s="18">
        <f>$H$3*E11</f>
        <v>62354285.714285716</v>
      </c>
      <c r="G11" s="13">
        <f t="shared" ref="G11:G31" si="3">D11/$D$32</f>
        <v>2.014098690835851E-2</v>
      </c>
      <c r="H11" s="1">
        <f>((1/21)+G11)/2</f>
        <v>3.3880017263703065E-2</v>
      </c>
    </row>
    <row r="12" spans="3:8" x14ac:dyDescent="0.25">
      <c r="C12" t="s">
        <v>1</v>
      </c>
      <c r="D12" s="2">
        <v>2200</v>
      </c>
      <c r="E12" s="8">
        <f t="shared" si="2"/>
        <v>1.2571428571428571E-3</v>
      </c>
      <c r="F12" s="18">
        <f t="shared" ref="F12:F31" si="4">$H$3*E12</f>
        <v>6235428.5714285709</v>
      </c>
      <c r="G12" s="13">
        <f t="shared" si="3"/>
        <v>2.014098690835851E-3</v>
      </c>
      <c r="H12" s="1">
        <f t="shared" ref="H12:H31" si="5">((1/21)+G12)/2</f>
        <v>2.4816573154941735E-2</v>
      </c>
    </row>
    <row r="13" spans="3:8" x14ac:dyDescent="0.25">
      <c r="C13" t="s">
        <v>2</v>
      </c>
      <c r="D13" s="2">
        <v>2200</v>
      </c>
      <c r="E13" s="8">
        <f t="shared" si="2"/>
        <v>1.2571428571428571E-3</v>
      </c>
      <c r="F13" s="18">
        <f t="shared" si="4"/>
        <v>6235428.5714285709</v>
      </c>
      <c r="G13" s="13">
        <f t="shared" si="3"/>
        <v>2.014098690835851E-3</v>
      </c>
      <c r="H13" s="1">
        <f t="shared" si="5"/>
        <v>2.4816573154941735E-2</v>
      </c>
    </row>
    <row r="14" spans="3:8" x14ac:dyDescent="0.25">
      <c r="C14" t="s">
        <v>3</v>
      </c>
      <c r="D14" s="2">
        <v>55000</v>
      </c>
      <c r="E14" s="8">
        <f t="shared" si="2"/>
        <v>3.1428571428571431E-2</v>
      </c>
      <c r="F14" s="18">
        <f t="shared" si="4"/>
        <v>155885714.2857143</v>
      </c>
      <c r="G14" s="13">
        <f t="shared" si="3"/>
        <v>5.0352467270896276E-2</v>
      </c>
      <c r="H14" s="1">
        <f t="shared" si="5"/>
        <v>4.8985757444971946E-2</v>
      </c>
    </row>
    <row r="15" spans="3:8" x14ac:dyDescent="0.25">
      <c r="C15" t="s">
        <v>4</v>
      </c>
      <c r="D15" s="2">
        <v>55000</v>
      </c>
      <c r="E15" s="8">
        <f t="shared" si="2"/>
        <v>3.1428571428571431E-2</v>
      </c>
      <c r="F15" s="18">
        <f t="shared" si="4"/>
        <v>155885714.2857143</v>
      </c>
      <c r="G15" s="13">
        <f t="shared" si="3"/>
        <v>5.0352467270896276E-2</v>
      </c>
      <c r="H15" s="1">
        <f t="shared" si="5"/>
        <v>4.8985757444971946E-2</v>
      </c>
    </row>
    <row r="16" spans="3:8" x14ac:dyDescent="0.25">
      <c r="C16" t="s">
        <v>5</v>
      </c>
      <c r="D16" s="2">
        <v>64900</v>
      </c>
      <c r="E16" s="8">
        <f t="shared" si="2"/>
        <v>3.7085714285714284E-2</v>
      </c>
      <c r="F16" s="18">
        <f t="shared" si="4"/>
        <v>183945142.85714284</v>
      </c>
      <c r="G16" s="13">
        <f t="shared" si="3"/>
        <v>5.9415911379657606E-2</v>
      </c>
      <c r="H16" s="1">
        <f t="shared" si="5"/>
        <v>5.3517479499352608E-2</v>
      </c>
    </row>
    <row r="17" spans="3:8" x14ac:dyDescent="0.25">
      <c r="C17" t="s">
        <v>6</v>
      </c>
      <c r="D17" s="2">
        <v>35200</v>
      </c>
      <c r="E17" s="8">
        <f t="shared" si="2"/>
        <v>2.0114285714285713E-2</v>
      </c>
      <c r="F17" s="18">
        <f t="shared" si="4"/>
        <v>99766857.142857134</v>
      </c>
      <c r="G17" s="13">
        <f t="shared" si="3"/>
        <v>3.2225579053373615E-2</v>
      </c>
      <c r="H17" s="1">
        <f t="shared" si="5"/>
        <v>3.9922313336210616E-2</v>
      </c>
    </row>
    <row r="18" spans="3:8" x14ac:dyDescent="0.25">
      <c r="C18" t="s">
        <v>7</v>
      </c>
      <c r="D18" s="2">
        <v>27500</v>
      </c>
      <c r="E18" s="8">
        <f t="shared" si="2"/>
        <v>1.5714285714285715E-2</v>
      </c>
      <c r="F18" s="18">
        <f t="shared" si="4"/>
        <v>77942857.142857149</v>
      </c>
      <c r="G18" s="13">
        <f t="shared" si="3"/>
        <v>2.5176233635448138E-2</v>
      </c>
      <c r="H18" s="1">
        <f t="shared" si="5"/>
        <v>3.6397640627247874E-2</v>
      </c>
    </row>
    <row r="19" spans="3:8" x14ac:dyDescent="0.25">
      <c r="C19" t="s">
        <v>8</v>
      </c>
      <c r="D19" s="2">
        <v>265100</v>
      </c>
      <c r="E19" s="8">
        <f t="shared" si="2"/>
        <v>0.15148571428571428</v>
      </c>
      <c r="F19" s="18">
        <f t="shared" si="4"/>
        <v>751369142.85714281</v>
      </c>
      <c r="G19" s="13">
        <f t="shared" si="3"/>
        <v>0.24269889224572003</v>
      </c>
      <c r="H19" s="1">
        <f t="shared" si="5"/>
        <v>0.14515896993238381</v>
      </c>
    </row>
    <row r="20" spans="3:8" x14ac:dyDescent="0.25">
      <c r="C20" t="s">
        <v>9</v>
      </c>
      <c r="D20" s="2">
        <v>22000</v>
      </c>
      <c r="E20" s="8">
        <f t="shared" si="2"/>
        <v>1.2571428571428572E-2</v>
      </c>
      <c r="F20" s="18">
        <f t="shared" si="4"/>
        <v>62354285.714285716</v>
      </c>
      <c r="G20" s="13">
        <f t="shared" si="3"/>
        <v>2.014098690835851E-2</v>
      </c>
      <c r="H20" s="1">
        <f t="shared" si="5"/>
        <v>3.3880017263703065E-2</v>
      </c>
    </row>
    <row r="21" spans="3:8" x14ac:dyDescent="0.25">
      <c r="C21" t="s">
        <v>10</v>
      </c>
      <c r="D21" s="2">
        <v>117700</v>
      </c>
      <c r="E21" s="8">
        <f t="shared" si="2"/>
        <v>6.7257142857142863E-2</v>
      </c>
      <c r="F21" s="18">
        <f t="shared" si="4"/>
        <v>333595428.5714286</v>
      </c>
      <c r="G21" s="13">
        <f t="shared" si="3"/>
        <v>0.10775427995971802</v>
      </c>
      <c r="H21" s="1">
        <f t="shared" si="5"/>
        <v>7.7686663789382826E-2</v>
      </c>
    </row>
    <row r="22" spans="3:8" x14ac:dyDescent="0.25">
      <c r="C22" t="s">
        <v>11</v>
      </c>
      <c r="D22" s="2">
        <v>77000</v>
      </c>
      <c r="E22" s="8">
        <f t="shared" si="2"/>
        <v>4.3999999999999997E-2</v>
      </c>
      <c r="F22" s="18">
        <f t="shared" si="4"/>
        <v>218240000</v>
      </c>
      <c r="G22" s="13">
        <f t="shared" si="3"/>
        <v>7.0493454179254789E-2</v>
      </c>
      <c r="H22" s="1">
        <f t="shared" si="5"/>
        <v>5.9056250899151203E-2</v>
      </c>
    </row>
    <row r="23" spans="3:8" x14ac:dyDescent="0.25">
      <c r="C23" t="s">
        <v>12</v>
      </c>
      <c r="D23" s="2">
        <v>132000</v>
      </c>
      <c r="E23" s="8">
        <f t="shared" si="2"/>
        <v>7.5428571428571428E-2</v>
      </c>
      <c r="F23" s="18">
        <f t="shared" si="4"/>
        <v>374125714.28571427</v>
      </c>
      <c r="G23" s="13">
        <f t="shared" si="3"/>
        <v>0.12084592145015106</v>
      </c>
      <c r="H23" s="1">
        <f t="shared" si="5"/>
        <v>8.4232484534599333E-2</v>
      </c>
    </row>
    <row r="24" spans="3:8" x14ac:dyDescent="0.25">
      <c r="C24" t="s">
        <v>13</v>
      </c>
      <c r="D24" s="2">
        <v>27500</v>
      </c>
      <c r="E24" s="8">
        <f t="shared" si="2"/>
        <v>1.5714285714285715E-2</v>
      </c>
      <c r="F24" s="18">
        <f t="shared" si="4"/>
        <v>77942857.142857149</v>
      </c>
      <c r="G24" s="13">
        <f t="shared" si="3"/>
        <v>2.5176233635448138E-2</v>
      </c>
      <c r="H24" s="1">
        <f t="shared" si="5"/>
        <v>3.6397640627247874E-2</v>
      </c>
    </row>
    <row r="25" spans="3:8" x14ac:dyDescent="0.25">
      <c r="C25" t="s">
        <v>14</v>
      </c>
      <c r="D25" s="2">
        <v>1100</v>
      </c>
      <c r="E25" s="8">
        <f t="shared" si="2"/>
        <v>6.2857142857142853E-4</v>
      </c>
      <c r="F25" s="18">
        <f t="shared" si="4"/>
        <v>3117714.2857142854</v>
      </c>
      <c r="G25" s="13">
        <f t="shared" si="3"/>
        <v>1.0070493454179255E-3</v>
      </c>
      <c r="H25" s="1">
        <f t="shared" si="5"/>
        <v>2.4313048482232771E-2</v>
      </c>
    </row>
    <row r="26" spans="3:8" x14ac:dyDescent="0.25">
      <c r="C26" t="s">
        <v>15</v>
      </c>
      <c r="D26" s="2">
        <v>11000</v>
      </c>
      <c r="E26" s="8">
        <f t="shared" si="2"/>
        <v>6.285714285714286E-3</v>
      </c>
      <c r="F26" s="18">
        <f t="shared" si="4"/>
        <v>31177142.857142858</v>
      </c>
      <c r="G26" s="13">
        <f t="shared" si="3"/>
        <v>1.0070493454179255E-2</v>
      </c>
      <c r="H26" s="1">
        <f t="shared" si="5"/>
        <v>2.8844770536613436E-2</v>
      </c>
    </row>
    <row r="27" spans="3:8" x14ac:dyDescent="0.25">
      <c r="C27" t="s">
        <v>16</v>
      </c>
      <c r="D27" s="2">
        <v>15400</v>
      </c>
      <c r="E27" s="8">
        <f>D27/$D$1</f>
        <v>8.8000000000000005E-3</v>
      </c>
      <c r="F27" s="18">
        <f t="shared" si="4"/>
        <v>43648000</v>
      </c>
      <c r="G27" s="13">
        <f t="shared" si="3"/>
        <v>1.4098690835850957E-2</v>
      </c>
      <c r="H27" s="1">
        <f t="shared" si="5"/>
        <v>3.0858869227449286E-2</v>
      </c>
    </row>
    <row r="28" spans="3:8" x14ac:dyDescent="0.25">
      <c r="C28" t="s">
        <v>17</v>
      </c>
      <c r="D28" s="2">
        <v>5500</v>
      </c>
      <c r="E28" s="8">
        <f t="shared" si="2"/>
        <v>3.142857142857143E-3</v>
      </c>
      <c r="F28" s="18">
        <f t="shared" si="4"/>
        <v>15588571.428571429</v>
      </c>
      <c r="G28" s="13">
        <f t="shared" si="3"/>
        <v>5.0352467270896274E-3</v>
      </c>
      <c r="H28" s="1">
        <f t="shared" si="5"/>
        <v>2.6327147173068621E-2</v>
      </c>
    </row>
    <row r="29" spans="3:8" x14ac:dyDescent="0.25">
      <c r="C29" t="s">
        <v>18</v>
      </c>
      <c r="D29" s="2">
        <v>82500</v>
      </c>
      <c r="E29" s="8">
        <f t="shared" si="2"/>
        <v>4.7142857142857146E-2</v>
      </c>
      <c r="F29" s="18">
        <f t="shared" si="4"/>
        <v>233828571.42857143</v>
      </c>
      <c r="G29" s="13">
        <f t="shared" si="3"/>
        <v>7.5528700906344406E-2</v>
      </c>
      <c r="H29" s="1">
        <f t="shared" si="5"/>
        <v>6.1573874262696011E-2</v>
      </c>
    </row>
    <row r="30" spans="3:8" x14ac:dyDescent="0.25">
      <c r="C30" t="s">
        <v>19</v>
      </c>
      <c r="D30" s="2">
        <v>16500</v>
      </c>
      <c r="E30" s="8">
        <f t="shared" si="2"/>
        <v>9.4285714285714285E-3</v>
      </c>
      <c r="F30" s="18">
        <f t="shared" si="4"/>
        <v>46765714.285714284</v>
      </c>
      <c r="G30" s="13">
        <f t="shared" si="3"/>
        <v>1.5105740181268883E-2</v>
      </c>
      <c r="H30" s="1">
        <f t="shared" si="5"/>
        <v>3.1362393900158249E-2</v>
      </c>
    </row>
    <row r="31" spans="3:8" x14ac:dyDescent="0.25">
      <c r="C31" t="s">
        <v>20</v>
      </c>
      <c r="D31" s="2">
        <v>55000</v>
      </c>
      <c r="E31" s="8">
        <f t="shared" si="2"/>
        <v>3.1428571428571431E-2</v>
      </c>
      <c r="F31" s="18">
        <f t="shared" si="4"/>
        <v>155885714.2857143</v>
      </c>
      <c r="G31" s="13">
        <f t="shared" si="3"/>
        <v>5.0352467270896276E-2</v>
      </c>
      <c r="H31" s="1">
        <f t="shared" si="5"/>
        <v>4.8985757444971946E-2</v>
      </c>
    </row>
    <row r="32" spans="3:8" x14ac:dyDescent="0.25">
      <c r="C32" s="7" t="s">
        <v>31</v>
      </c>
      <c r="D32" s="4">
        <f>SUM(D11:D31)</f>
        <v>1092300</v>
      </c>
      <c r="E32" s="9">
        <f>SUM(E11:E31)</f>
        <v>0.6241714285714286</v>
      </c>
      <c r="F32" s="19">
        <f>SUM(F11:F31)</f>
        <v>3095890285.7142849</v>
      </c>
      <c r="G32" s="5">
        <f>SUM(G11:G31)</f>
        <v>1</v>
      </c>
      <c r="H32" s="5">
        <f>SUM(H11:H31)</f>
        <v>0.99999999999999989</v>
      </c>
    </row>
    <row r="34" spans="3:6" x14ac:dyDescent="0.25">
      <c r="C34" s="3" t="s">
        <v>41</v>
      </c>
      <c r="D34" s="4">
        <f>D1-D8-D32</f>
        <v>7700</v>
      </c>
      <c r="E34" s="10">
        <f t="shared" ref="E34" si="6">D34/$D$1</f>
        <v>4.4000000000000003E-3</v>
      </c>
      <c r="F34" s="19">
        <f t="shared" ref="F34" si="7">$H$3*E34</f>
        <v>21824000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5"/>
  <sheetViews>
    <sheetView zoomScaleNormal="100" workbookViewId="0">
      <selection activeCell="C31" sqref="C31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bestFit="1" customWidth="1"/>
    <col min="7" max="7" width="21.42578125" bestFit="1" customWidth="1"/>
    <col min="8" max="8" width="18.42578125" bestFit="1" customWidth="1"/>
    <col min="9" max="9" width="4.28515625" customWidth="1"/>
    <col min="10" max="10" width="3.5703125" customWidth="1"/>
    <col min="11" max="11" width="13" customWidth="1"/>
    <col min="12" max="12" width="12.28515625" customWidth="1"/>
  </cols>
  <sheetData>
    <row r="1" spans="3:12" x14ac:dyDescent="0.25">
      <c r="C1" s="3" t="s">
        <v>27</v>
      </c>
      <c r="D1" s="4">
        <v>1750000</v>
      </c>
      <c r="G1" s="3" t="s">
        <v>40</v>
      </c>
      <c r="H1" s="16">
        <f>5.2*10^9</f>
        <v>5200000000</v>
      </c>
    </row>
    <row r="2" spans="3:12" x14ac:dyDescent="0.25">
      <c r="G2" s="3" t="s">
        <v>38</v>
      </c>
      <c r="H2" s="16">
        <f>0.24*10^9</f>
        <v>240000000</v>
      </c>
    </row>
    <row r="3" spans="3:12" x14ac:dyDescent="0.25">
      <c r="G3" s="3" t="s">
        <v>39</v>
      </c>
      <c r="H3" s="16">
        <f>H1-H2</f>
        <v>4960000000</v>
      </c>
      <c r="L3" s="15"/>
    </row>
    <row r="4" spans="3:12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12" x14ac:dyDescent="0.25">
      <c r="C5" t="s">
        <v>21</v>
      </c>
      <c r="D5" s="2">
        <v>440000</v>
      </c>
      <c r="E5" s="11">
        <f>D5/$D$1</f>
        <v>0.25142857142857145</v>
      </c>
      <c r="F5" s="18">
        <f>$H$3*E5</f>
        <v>1247085714.2857144</v>
      </c>
    </row>
    <row r="6" spans="3:12" x14ac:dyDescent="0.25">
      <c r="C6" t="s">
        <v>22</v>
      </c>
      <c r="D6" s="2">
        <v>90000</v>
      </c>
      <c r="E6" s="11">
        <f t="shared" ref="E6:E7" si="0">D6/$D$1</f>
        <v>5.1428571428571428E-2</v>
      </c>
      <c r="F6" s="18">
        <f t="shared" ref="F6:F7" si="1">$H$3*E6</f>
        <v>255085714.28571427</v>
      </c>
      <c r="H6" s="17"/>
    </row>
    <row r="7" spans="3:12" x14ac:dyDescent="0.25">
      <c r="C7" t="s">
        <v>23</v>
      </c>
      <c r="D7" s="2">
        <v>120000</v>
      </c>
      <c r="E7" s="11">
        <f t="shared" si="0"/>
        <v>6.8571428571428575E-2</v>
      </c>
      <c r="F7" s="18">
        <f t="shared" si="1"/>
        <v>340114285.71428573</v>
      </c>
    </row>
    <row r="8" spans="3:12" x14ac:dyDescent="0.25">
      <c r="C8" s="7" t="s">
        <v>30</v>
      </c>
      <c r="D8" s="4">
        <f>SUM(D5:D7)</f>
        <v>650000</v>
      </c>
      <c r="E8" s="9">
        <f>SUM(E5:E7)</f>
        <v>0.37142857142857144</v>
      </c>
      <c r="F8" s="19">
        <f>SUM(F5:F7)</f>
        <v>1842285714.2857146</v>
      </c>
    </row>
    <row r="9" spans="3:12" x14ac:dyDescent="0.25">
      <c r="D9" s="2"/>
    </row>
    <row r="10" spans="3:12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12" x14ac:dyDescent="0.25">
      <c r="C11" t="s">
        <v>0</v>
      </c>
      <c r="D11" s="2">
        <f>ROUND('500TAF Basis'!D2*$D$1,0)</f>
        <v>14000</v>
      </c>
      <c r="E11" s="8">
        <f>D11/$D$1</f>
        <v>8.0000000000000002E-3</v>
      </c>
      <c r="F11" s="18">
        <f>$H$3*E11</f>
        <v>39680000</v>
      </c>
      <c r="G11" s="13">
        <f t="shared" ref="G11:G31" si="2">D11/$D$32</f>
        <v>2.0736962005441971E-2</v>
      </c>
      <c r="H11" s="1">
        <f>((1/21)+G11)/2</f>
        <v>3.4178004812244797E-2</v>
      </c>
    </row>
    <row r="12" spans="3:12" x14ac:dyDescent="0.25">
      <c r="C12" t="s">
        <v>1</v>
      </c>
      <c r="D12" s="2">
        <f>ROUND('500TAF Basis'!D3*$D$1,0)</f>
        <v>1750</v>
      </c>
      <c r="E12" s="8">
        <f t="shared" ref="E12:E31" si="3">D12/$D$1</f>
        <v>1E-3</v>
      </c>
      <c r="F12" s="18">
        <f t="shared" ref="F12:F31" si="4">$H$3*E12</f>
        <v>4960000</v>
      </c>
      <c r="G12" s="13">
        <f t="shared" si="2"/>
        <v>2.5921202506802464E-3</v>
      </c>
      <c r="H12" s="1">
        <f t="shared" ref="H12:H31" si="5">((1/21)+G12)/2</f>
        <v>2.510558393486393E-2</v>
      </c>
    </row>
    <row r="13" spans="3:12" x14ac:dyDescent="0.25">
      <c r="C13" t="s">
        <v>2</v>
      </c>
      <c r="D13" s="2">
        <f>ROUND('500TAF Basis'!D4*$D$1,0)</f>
        <v>1050</v>
      </c>
      <c r="E13" s="8">
        <f t="shared" si="3"/>
        <v>5.9999999999999995E-4</v>
      </c>
      <c r="F13" s="18">
        <f t="shared" si="4"/>
        <v>2975999.9999999995</v>
      </c>
      <c r="G13" s="13">
        <f t="shared" si="2"/>
        <v>1.5552721504081479E-3</v>
      </c>
      <c r="H13" s="1">
        <f t="shared" si="5"/>
        <v>2.4587159884727882E-2</v>
      </c>
    </row>
    <row r="14" spans="3:12" x14ac:dyDescent="0.25">
      <c r="C14" t="s">
        <v>3</v>
      </c>
      <c r="D14" s="2">
        <f>ROUND('500TAF Basis'!D5*$D$1,0)</f>
        <v>35000</v>
      </c>
      <c r="E14" s="8">
        <f t="shared" si="3"/>
        <v>0.02</v>
      </c>
      <c r="F14" s="18">
        <f t="shared" si="4"/>
        <v>99200000</v>
      </c>
      <c r="G14" s="13">
        <f t="shared" si="2"/>
        <v>5.1842405013604931E-2</v>
      </c>
      <c r="H14" s="1">
        <f t="shared" si="5"/>
        <v>4.9730726316326274E-2</v>
      </c>
    </row>
    <row r="15" spans="3:12" x14ac:dyDescent="0.25">
      <c r="C15" t="s">
        <v>4</v>
      </c>
      <c r="D15" s="2">
        <f>ROUND('500TAF Basis'!D6*$D$1,0)</f>
        <v>35000</v>
      </c>
      <c r="E15" s="8">
        <f t="shared" si="3"/>
        <v>0.02</v>
      </c>
      <c r="F15" s="18">
        <f t="shared" si="4"/>
        <v>99200000</v>
      </c>
      <c r="G15" s="13">
        <f t="shared" si="2"/>
        <v>5.1842405013604931E-2</v>
      </c>
      <c r="H15" s="1">
        <f t="shared" si="5"/>
        <v>4.9730726316326274E-2</v>
      </c>
    </row>
    <row r="16" spans="3:12" x14ac:dyDescent="0.25">
      <c r="C16" t="s">
        <v>5</v>
      </c>
      <c r="D16" s="2">
        <f>ROUND('500TAF Basis'!D7*$D$1,0)</f>
        <v>41913</v>
      </c>
      <c r="E16" s="8">
        <f t="shared" si="3"/>
        <v>2.3950285714285716E-2</v>
      </c>
      <c r="F16" s="18">
        <f t="shared" si="4"/>
        <v>118793417.14285715</v>
      </c>
      <c r="G16" s="13">
        <f t="shared" si="2"/>
        <v>6.2082020609577813E-2</v>
      </c>
      <c r="H16" s="1">
        <f t="shared" si="5"/>
        <v>5.4850534114312718E-2</v>
      </c>
    </row>
    <row r="17" spans="3:8" x14ac:dyDescent="0.25">
      <c r="C17" t="s">
        <v>6</v>
      </c>
      <c r="D17" s="2">
        <f>ROUND('500TAF Basis'!D8*$D$1,0)</f>
        <v>22750</v>
      </c>
      <c r="E17" s="8">
        <f t="shared" si="3"/>
        <v>1.2999999999999999E-2</v>
      </c>
      <c r="F17" s="18">
        <f t="shared" si="4"/>
        <v>64480000</v>
      </c>
      <c r="G17" s="13">
        <f t="shared" si="2"/>
        <v>3.3697563258843204E-2</v>
      </c>
      <c r="H17" s="1">
        <f t="shared" si="5"/>
        <v>4.0658305438945413E-2</v>
      </c>
    </row>
    <row r="18" spans="3:8" x14ac:dyDescent="0.25">
      <c r="C18" t="s">
        <v>7</v>
      </c>
      <c r="D18" s="2">
        <f>ROUND('500TAF Basis'!D9*$D$1,0)</f>
        <v>17500</v>
      </c>
      <c r="E18" s="8">
        <f t="shared" si="3"/>
        <v>0.01</v>
      </c>
      <c r="F18" s="18">
        <f t="shared" si="4"/>
        <v>49600000</v>
      </c>
      <c r="G18" s="13">
        <f t="shared" si="2"/>
        <v>2.5921202506802465E-2</v>
      </c>
      <c r="H18" s="1">
        <f t="shared" si="5"/>
        <v>3.6770125062925041E-2</v>
      </c>
    </row>
    <row r="19" spans="3:8" x14ac:dyDescent="0.25">
      <c r="C19" t="s">
        <v>8</v>
      </c>
      <c r="D19" s="2">
        <f>ROUND('500TAF Basis'!D10*$D$1,0)</f>
        <v>175000</v>
      </c>
      <c r="E19" s="8">
        <f t="shared" si="3"/>
        <v>0.1</v>
      </c>
      <c r="F19" s="18">
        <f t="shared" si="4"/>
        <v>496000000</v>
      </c>
      <c r="G19" s="13">
        <f t="shared" si="2"/>
        <v>0.25921202506802465</v>
      </c>
      <c r="H19" s="1">
        <f t="shared" si="5"/>
        <v>0.15341553634353614</v>
      </c>
    </row>
    <row r="20" spans="3:8" x14ac:dyDescent="0.25">
      <c r="C20" t="s">
        <v>9</v>
      </c>
      <c r="D20" s="2">
        <f>ROUND('500TAF Basis'!D11*$D$1,0)</f>
        <v>14000</v>
      </c>
      <c r="E20" s="8">
        <f t="shared" si="3"/>
        <v>8.0000000000000002E-3</v>
      </c>
      <c r="F20" s="18">
        <f t="shared" si="4"/>
        <v>39680000</v>
      </c>
      <c r="G20" s="13">
        <f t="shared" si="2"/>
        <v>2.0736962005441971E-2</v>
      </c>
      <c r="H20" s="1">
        <f t="shared" si="5"/>
        <v>3.4178004812244797E-2</v>
      </c>
    </row>
    <row r="21" spans="3:8" x14ac:dyDescent="0.25">
      <c r="C21" t="s">
        <v>10</v>
      </c>
      <c r="D21" s="2">
        <f>ROUND('500TAF Basis'!D12*$D$1,0)</f>
        <v>74900</v>
      </c>
      <c r="E21" s="8">
        <f t="shared" si="3"/>
        <v>4.2799999999999998E-2</v>
      </c>
      <c r="F21" s="18">
        <f t="shared" si="4"/>
        <v>212288000</v>
      </c>
      <c r="G21" s="13">
        <f t="shared" si="2"/>
        <v>0.11094274672911454</v>
      </c>
      <c r="H21" s="1">
        <f t="shared" si="5"/>
        <v>7.9280897174081072E-2</v>
      </c>
    </row>
    <row r="22" spans="3:8" x14ac:dyDescent="0.25">
      <c r="C22" t="s">
        <v>11</v>
      </c>
      <c r="D22" s="2">
        <f>ROUND('500TAF Basis'!D13*$D$1,0)</f>
        <v>49000</v>
      </c>
      <c r="E22" s="8">
        <f t="shared" si="3"/>
        <v>2.8000000000000001E-2</v>
      </c>
      <c r="F22" s="18">
        <f t="shared" si="4"/>
        <v>138880000</v>
      </c>
      <c r="G22" s="13">
        <f t="shared" si="2"/>
        <v>7.2579367019046895E-2</v>
      </c>
      <c r="H22" s="1">
        <f t="shared" si="5"/>
        <v>6.0099207319047256E-2</v>
      </c>
    </row>
    <row r="23" spans="3:8" x14ac:dyDescent="0.25">
      <c r="C23" t="s">
        <v>12</v>
      </c>
      <c r="D23" s="2">
        <f>ROUND('500TAF Basis'!D14*$D$1,0)</f>
        <v>56000</v>
      </c>
      <c r="E23" s="8">
        <f t="shared" si="3"/>
        <v>3.2000000000000001E-2</v>
      </c>
      <c r="F23" s="18">
        <f t="shared" si="4"/>
        <v>158720000</v>
      </c>
      <c r="G23" s="13">
        <f t="shared" si="2"/>
        <v>8.2947848021767884E-2</v>
      </c>
      <c r="H23" s="1">
        <f t="shared" si="5"/>
        <v>6.528344782040775E-2</v>
      </c>
    </row>
    <row r="24" spans="3:8" x14ac:dyDescent="0.25">
      <c r="C24" t="s">
        <v>13</v>
      </c>
      <c r="D24" s="2">
        <f>ROUND('500TAF Basis'!D15*$D$1,0)</f>
        <v>17500</v>
      </c>
      <c r="E24" s="8">
        <f t="shared" si="3"/>
        <v>0.01</v>
      </c>
      <c r="F24" s="18">
        <f t="shared" si="4"/>
        <v>49600000</v>
      </c>
      <c r="G24" s="13">
        <f t="shared" si="2"/>
        <v>2.5921202506802465E-2</v>
      </c>
      <c r="H24" s="1">
        <f t="shared" si="5"/>
        <v>3.6770125062925041E-2</v>
      </c>
    </row>
    <row r="25" spans="3:8" x14ac:dyDescent="0.25">
      <c r="C25" t="s">
        <v>14</v>
      </c>
      <c r="D25" s="2">
        <f>ROUND('500TAF Basis'!D16*$D$1,0)</f>
        <v>1575</v>
      </c>
      <c r="E25" s="8">
        <f t="shared" si="3"/>
        <v>8.9999999999999998E-4</v>
      </c>
      <c r="F25" s="18">
        <f t="shared" si="4"/>
        <v>4464000</v>
      </c>
      <c r="G25" s="13">
        <f t="shared" si="2"/>
        <v>2.3329082256122219E-3</v>
      </c>
      <c r="H25" s="1">
        <f t="shared" si="5"/>
        <v>2.4975977922329921E-2</v>
      </c>
    </row>
    <row r="26" spans="3:8" x14ac:dyDescent="0.25">
      <c r="C26" t="s">
        <v>15</v>
      </c>
      <c r="D26" s="2">
        <f>ROUND('500TAF Basis'!D17*$D$1,0)</f>
        <v>7000</v>
      </c>
      <c r="E26" s="8">
        <f t="shared" si="3"/>
        <v>4.0000000000000001E-3</v>
      </c>
      <c r="F26" s="18">
        <f t="shared" si="4"/>
        <v>19840000</v>
      </c>
      <c r="G26" s="13">
        <f t="shared" si="2"/>
        <v>1.0368481002720985E-2</v>
      </c>
      <c r="H26" s="1">
        <f t="shared" si="5"/>
        <v>2.8993764310884303E-2</v>
      </c>
    </row>
    <row r="27" spans="3:8" x14ac:dyDescent="0.25">
      <c r="C27" t="s">
        <v>16</v>
      </c>
      <c r="D27" s="2">
        <f>ROUND('500TAF Basis'!D18*$D$1,0)</f>
        <v>9510</v>
      </c>
      <c r="E27" s="8">
        <f t="shared" si="3"/>
        <v>5.4342857142857144E-3</v>
      </c>
      <c r="F27" s="18">
        <f t="shared" si="4"/>
        <v>26954057.142857142</v>
      </c>
      <c r="G27" s="13">
        <f t="shared" si="2"/>
        <v>1.4086322047982368E-2</v>
      </c>
      <c r="H27" s="1">
        <f t="shared" si="5"/>
        <v>3.0852684833514991E-2</v>
      </c>
    </row>
    <row r="28" spans="3:8" x14ac:dyDescent="0.25">
      <c r="C28" t="s">
        <v>17</v>
      </c>
      <c r="D28" s="2">
        <f>ROUND('500TAF Basis'!D19*$D$1,0)</f>
        <v>3500</v>
      </c>
      <c r="E28" s="8">
        <f t="shared" si="3"/>
        <v>2E-3</v>
      </c>
      <c r="F28" s="18">
        <f t="shared" si="4"/>
        <v>9920000</v>
      </c>
      <c r="G28" s="13">
        <f t="shared" si="2"/>
        <v>5.1842405013604927E-3</v>
      </c>
      <c r="H28" s="1">
        <f t="shared" si="5"/>
        <v>2.6401644060204055E-2</v>
      </c>
    </row>
    <row r="29" spans="3:8" x14ac:dyDescent="0.25">
      <c r="C29" t="s">
        <v>18</v>
      </c>
      <c r="D29" s="2">
        <f>ROUND('500TAF Basis'!D20*$D$1,0)</f>
        <v>52500</v>
      </c>
      <c r="E29" s="8">
        <f t="shared" si="3"/>
        <v>0.03</v>
      </c>
      <c r="F29" s="18">
        <f t="shared" si="4"/>
        <v>148800000</v>
      </c>
      <c r="G29" s="13">
        <f t="shared" si="2"/>
        <v>7.7763607520407396E-2</v>
      </c>
      <c r="H29" s="1">
        <f t="shared" si="5"/>
        <v>6.2691327569727506E-2</v>
      </c>
    </row>
    <row r="30" spans="3:8" x14ac:dyDescent="0.25">
      <c r="C30" t="s">
        <v>19</v>
      </c>
      <c r="D30" s="2">
        <f>ROUND('500TAF Basis'!D21*$D$1,0)</f>
        <v>10675</v>
      </c>
      <c r="E30" s="8">
        <f t="shared" si="3"/>
        <v>6.1000000000000004E-3</v>
      </c>
      <c r="F30" s="18">
        <f t="shared" si="4"/>
        <v>30256000.000000004</v>
      </c>
      <c r="G30" s="13">
        <f t="shared" si="2"/>
        <v>1.5811933529149502E-2</v>
      </c>
      <c r="H30" s="1">
        <f t="shared" si="5"/>
        <v>3.1715490574098559E-2</v>
      </c>
    </row>
    <row r="31" spans="3:8" x14ac:dyDescent="0.25">
      <c r="C31" t="s">
        <v>20</v>
      </c>
      <c r="D31" s="2">
        <f>ROUND('500TAF Basis'!D22*$D$1,0)</f>
        <v>35000</v>
      </c>
      <c r="E31" s="8">
        <f t="shared" si="3"/>
        <v>0.02</v>
      </c>
      <c r="F31" s="18">
        <f t="shared" si="4"/>
        <v>99200000</v>
      </c>
      <c r="G31" s="13">
        <f t="shared" si="2"/>
        <v>5.1842405013604931E-2</v>
      </c>
      <c r="H31" s="1">
        <f t="shared" si="5"/>
        <v>4.9730726316326274E-2</v>
      </c>
    </row>
    <row r="32" spans="3:8" x14ac:dyDescent="0.25">
      <c r="C32" s="7" t="s">
        <v>31</v>
      </c>
      <c r="D32" s="4">
        <f>SUM(D11:D31)</f>
        <v>675123</v>
      </c>
      <c r="E32" s="9">
        <f>SUM(E11:E31)</f>
        <v>0.38578457142857159</v>
      </c>
      <c r="F32" s="19">
        <f>SUM(F11:F31)</f>
        <v>1913491474.2857141</v>
      </c>
      <c r="G32" s="5">
        <f>SUM(G11:G31)</f>
        <v>1</v>
      </c>
      <c r="H32" s="5">
        <f>SUM(H11:H31)</f>
        <v>1</v>
      </c>
    </row>
    <row r="34" spans="3:6" x14ac:dyDescent="0.25">
      <c r="C34" s="3" t="s">
        <v>41</v>
      </c>
      <c r="D34" s="4">
        <f>D1-D8-D32</f>
        <v>424877</v>
      </c>
      <c r="E34" s="10">
        <f t="shared" ref="E34" si="6">D34/$D$1</f>
        <v>0.24278685714285714</v>
      </c>
      <c r="F34" s="19">
        <f t="shared" ref="F34" si="7">$H$3*E34</f>
        <v>1204222811.4285715</v>
      </c>
    </row>
    <row r="35" spans="3:6" x14ac:dyDescent="0.25">
      <c r="F35" s="18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5"/>
  <sheetViews>
    <sheetView zoomScaleNormal="100" workbookViewId="0">
      <selection activeCell="E34" sqref="E34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4.28515625" customWidth="1"/>
    <col min="10" max="10" width="3.5703125" customWidth="1"/>
    <col min="11" max="11" width="13" customWidth="1"/>
    <col min="12" max="12" width="12.28515625" customWidth="1"/>
  </cols>
  <sheetData>
    <row r="1" spans="3:12" x14ac:dyDescent="0.25">
      <c r="C1" s="3" t="s">
        <v>27</v>
      </c>
      <c r="D1" s="4">
        <v>1700000</v>
      </c>
      <c r="G1" s="3" t="s">
        <v>40</v>
      </c>
      <c r="H1" s="16">
        <f>5.2*10^9</f>
        <v>5200000000</v>
      </c>
    </row>
    <row r="2" spans="3:12" x14ac:dyDescent="0.25">
      <c r="G2" s="3" t="s">
        <v>38</v>
      </c>
      <c r="H2" s="16">
        <f>0.24*10^9</f>
        <v>240000000</v>
      </c>
    </row>
    <row r="3" spans="3:12" x14ac:dyDescent="0.25">
      <c r="G3" s="3" t="s">
        <v>39</v>
      </c>
      <c r="H3" s="16">
        <f>H1-H2</f>
        <v>4960000000</v>
      </c>
      <c r="L3" s="15"/>
    </row>
    <row r="4" spans="3:12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12" x14ac:dyDescent="0.25">
      <c r="C5" t="s">
        <v>21</v>
      </c>
      <c r="D5" s="2">
        <v>425000</v>
      </c>
      <c r="E5" s="11">
        <f>D5/$D$1</f>
        <v>0.25</v>
      </c>
      <c r="F5" s="18">
        <f>$H$3*E5</f>
        <v>1240000000</v>
      </c>
    </row>
    <row r="6" spans="3:12" x14ac:dyDescent="0.25">
      <c r="C6" t="s">
        <v>22</v>
      </c>
      <c r="D6" s="2">
        <v>90000</v>
      </c>
      <c r="E6" s="11">
        <f>D6/$D$1</f>
        <v>5.2941176470588235E-2</v>
      </c>
      <c r="F6" s="18">
        <f t="shared" ref="F6:F7" si="0">$H$3*E6</f>
        <v>262588235.29411763</v>
      </c>
      <c r="H6" s="17"/>
    </row>
    <row r="7" spans="3:12" x14ac:dyDescent="0.25">
      <c r="C7" t="s">
        <v>23</v>
      </c>
      <c r="D7" s="2">
        <v>120000</v>
      </c>
      <c r="E7" s="11">
        <f t="shared" ref="E7" si="1">D7/$D$1</f>
        <v>7.0588235294117646E-2</v>
      </c>
      <c r="F7" s="18">
        <f t="shared" si="0"/>
        <v>350117647.05882353</v>
      </c>
    </row>
    <row r="8" spans="3:12" x14ac:dyDescent="0.25">
      <c r="C8" s="7" t="s">
        <v>30</v>
      </c>
      <c r="D8" s="4">
        <f>SUM(D5:D7)</f>
        <v>635000</v>
      </c>
      <c r="E8" s="9">
        <f>SUM(E5:E7)</f>
        <v>0.37352941176470589</v>
      </c>
      <c r="F8" s="19">
        <f>SUM(F5:F7)</f>
        <v>1852705882.3529413</v>
      </c>
    </row>
    <row r="9" spans="3:12" x14ac:dyDescent="0.25">
      <c r="D9" s="2"/>
    </row>
    <row r="10" spans="3:12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12" x14ac:dyDescent="0.25">
      <c r="C11" t="s">
        <v>0</v>
      </c>
      <c r="D11" s="2">
        <f>ROUND('500TAF Basis'!D2*$D$1,0)</f>
        <v>13600</v>
      </c>
      <c r="E11" s="8">
        <f>D11/$D$1</f>
        <v>8.0000000000000002E-3</v>
      </c>
      <c r="F11" s="18">
        <f>$H$3*E11</f>
        <v>39680000</v>
      </c>
      <c r="G11" s="13">
        <f t="shared" ref="G11:G31" si="2">D11/$D$32</f>
        <v>2.0736986397451789E-2</v>
      </c>
      <c r="H11" s="1">
        <f>((1/21)+G11)/2</f>
        <v>3.4178017008249705E-2</v>
      </c>
    </row>
    <row r="12" spans="3:12" x14ac:dyDescent="0.25">
      <c r="C12" t="s">
        <v>1</v>
      </c>
      <c r="D12" s="2">
        <f>ROUND('500TAF Basis'!D3*$D$1,0)</f>
        <v>1700</v>
      </c>
      <c r="E12" s="8">
        <f t="shared" ref="E12:E31" si="3">D12/$D$1</f>
        <v>1E-3</v>
      </c>
      <c r="F12" s="18">
        <f t="shared" ref="F12:F31" si="4">$H$3*E12</f>
        <v>4960000</v>
      </c>
      <c r="G12" s="13">
        <f t="shared" si="2"/>
        <v>2.5921232996814736E-3</v>
      </c>
      <c r="H12" s="1">
        <f t="shared" ref="H12:H31" si="5">((1/21)+G12)/2</f>
        <v>2.5105585459364546E-2</v>
      </c>
    </row>
    <row r="13" spans="3:12" x14ac:dyDescent="0.25">
      <c r="C13" t="s">
        <v>2</v>
      </c>
      <c r="D13" s="2">
        <f>ROUND('500TAF Basis'!D4*$D$1,0)</f>
        <v>1020</v>
      </c>
      <c r="E13" s="8">
        <f t="shared" si="3"/>
        <v>5.9999999999999995E-4</v>
      </c>
      <c r="F13" s="18">
        <f t="shared" si="4"/>
        <v>2975999.9999999995</v>
      </c>
      <c r="G13" s="13">
        <f t="shared" si="2"/>
        <v>1.5552739798088842E-3</v>
      </c>
      <c r="H13" s="1">
        <f t="shared" si="5"/>
        <v>2.458716079942825E-2</v>
      </c>
    </row>
    <row r="14" spans="3:12" x14ac:dyDescent="0.25">
      <c r="C14" t="s">
        <v>3</v>
      </c>
      <c r="D14" s="2">
        <f>ROUND('500TAF Basis'!D5*$D$1,0)</f>
        <v>34000</v>
      </c>
      <c r="E14" s="8">
        <f t="shared" si="3"/>
        <v>0.02</v>
      </c>
      <c r="F14" s="18">
        <f t="shared" si="4"/>
        <v>99200000</v>
      </c>
      <c r="G14" s="13">
        <f t="shared" si="2"/>
        <v>5.1842465993629475E-2</v>
      </c>
      <c r="H14" s="1">
        <f t="shared" si="5"/>
        <v>4.9730756806338546E-2</v>
      </c>
    </row>
    <row r="15" spans="3:12" x14ac:dyDescent="0.25">
      <c r="C15" t="s">
        <v>4</v>
      </c>
      <c r="D15" s="2">
        <f>ROUND('500TAF Basis'!D6*$D$1,0)</f>
        <v>34000</v>
      </c>
      <c r="E15" s="8">
        <f t="shared" si="3"/>
        <v>0.02</v>
      </c>
      <c r="F15" s="18">
        <f t="shared" si="4"/>
        <v>99200000</v>
      </c>
      <c r="G15" s="13">
        <f t="shared" si="2"/>
        <v>5.1842465993629475E-2</v>
      </c>
      <c r="H15" s="1">
        <f t="shared" si="5"/>
        <v>4.9730756806338546E-2</v>
      </c>
    </row>
    <row r="16" spans="3:12" x14ac:dyDescent="0.25">
      <c r="C16" t="s">
        <v>5</v>
      </c>
      <c r="D16" s="2">
        <f>ROUND('500TAF Basis'!D7*$D$1,0)</f>
        <v>40715</v>
      </c>
      <c r="E16" s="8">
        <f t="shared" si="3"/>
        <v>2.3949999999999999E-2</v>
      </c>
      <c r="F16" s="18">
        <f t="shared" si="4"/>
        <v>118792000</v>
      </c>
      <c r="G16" s="13">
        <f t="shared" si="2"/>
        <v>6.2081353027371299E-2</v>
      </c>
      <c r="H16" s="1">
        <f t="shared" si="5"/>
        <v>5.4850200323209461E-2</v>
      </c>
    </row>
    <row r="17" spans="3:8" x14ac:dyDescent="0.25">
      <c r="C17" t="s">
        <v>6</v>
      </c>
      <c r="D17" s="2">
        <f>ROUND('500TAF Basis'!D8*$D$1,0)</f>
        <v>22100</v>
      </c>
      <c r="E17" s="8">
        <f t="shared" si="3"/>
        <v>1.2999999999999999E-2</v>
      </c>
      <c r="F17" s="18">
        <f t="shared" si="4"/>
        <v>64480000</v>
      </c>
      <c r="G17" s="13">
        <f t="shared" si="2"/>
        <v>3.3697602895859158E-2</v>
      </c>
      <c r="H17" s="1">
        <f t="shared" si="5"/>
        <v>4.0658325257453387E-2</v>
      </c>
    </row>
    <row r="18" spans="3:8" x14ac:dyDescent="0.25">
      <c r="C18" t="s">
        <v>7</v>
      </c>
      <c r="D18" s="2">
        <f>ROUND('500TAF Basis'!D9*$D$1,0)</f>
        <v>17000</v>
      </c>
      <c r="E18" s="8">
        <f t="shared" si="3"/>
        <v>0.01</v>
      </c>
      <c r="F18" s="18">
        <f t="shared" si="4"/>
        <v>49600000</v>
      </c>
      <c r="G18" s="13">
        <f t="shared" si="2"/>
        <v>2.5921232996814737E-2</v>
      </c>
      <c r="H18" s="1">
        <f t="shared" si="5"/>
        <v>3.6770140307931173E-2</v>
      </c>
    </row>
    <row r="19" spans="3:8" x14ac:dyDescent="0.25">
      <c r="C19" t="s">
        <v>8</v>
      </c>
      <c r="D19" s="2">
        <f>ROUND('500TAF Basis'!D10*$D$1,0)</f>
        <v>170000</v>
      </c>
      <c r="E19" s="8">
        <f t="shared" si="3"/>
        <v>0.1</v>
      </c>
      <c r="F19" s="18">
        <f t="shared" si="4"/>
        <v>496000000</v>
      </c>
      <c r="G19" s="13">
        <f t="shared" si="2"/>
        <v>0.25921232996814736</v>
      </c>
      <c r="H19" s="1">
        <f t="shared" si="5"/>
        <v>0.15341568879359749</v>
      </c>
    </row>
    <row r="20" spans="3:8" x14ac:dyDescent="0.25">
      <c r="C20" t="s">
        <v>9</v>
      </c>
      <c r="D20" s="2">
        <f>ROUND('500TAF Basis'!D11*$D$1,0)</f>
        <v>13600</v>
      </c>
      <c r="E20" s="8">
        <f t="shared" si="3"/>
        <v>8.0000000000000002E-3</v>
      </c>
      <c r="F20" s="18">
        <f t="shared" si="4"/>
        <v>39680000</v>
      </c>
      <c r="G20" s="13">
        <f t="shared" si="2"/>
        <v>2.0736986397451789E-2</v>
      </c>
      <c r="H20" s="1">
        <f t="shared" si="5"/>
        <v>3.4178017008249705E-2</v>
      </c>
    </row>
    <row r="21" spans="3:8" x14ac:dyDescent="0.25">
      <c r="C21" t="s">
        <v>10</v>
      </c>
      <c r="D21" s="2">
        <f>ROUND('500TAF Basis'!D12*$D$1,0)</f>
        <v>72760</v>
      </c>
      <c r="E21" s="8">
        <f t="shared" si="3"/>
        <v>4.2799999999999998E-2</v>
      </c>
      <c r="F21" s="18">
        <f t="shared" si="4"/>
        <v>212288000</v>
      </c>
      <c r="G21" s="13">
        <f t="shared" si="2"/>
        <v>0.11094287722636707</v>
      </c>
      <c r="H21" s="1">
        <f t="shared" si="5"/>
        <v>7.9280962422707352E-2</v>
      </c>
    </row>
    <row r="22" spans="3:8" x14ac:dyDescent="0.25">
      <c r="C22" t="s">
        <v>11</v>
      </c>
      <c r="D22" s="2">
        <f>ROUND('500TAF Basis'!D13*$D$1,0)</f>
        <v>47600</v>
      </c>
      <c r="E22" s="8">
        <f t="shared" si="3"/>
        <v>2.8000000000000001E-2</v>
      </c>
      <c r="F22" s="18">
        <f t="shared" si="4"/>
        <v>138880000</v>
      </c>
      <c r="G22" s="13">
        <f t="shared" si="2"/>
        <v>7.2579452391081267E-2</v>
      </c>
      <c r="H22" s="1">
        <f t="shared" si="5"/>
        <v>6.0099250005064442E-2</v>
      </c>
    </row>
    <row r="23" spans="3:8" x14ac:dyDescent="0.25">
      <c r="C23" t="s">
        <v>12</v>
      </c>
      <c r="D23" s="2">
        <f>ROUND('500TAF Basis'!D14*$D$1,0)</f>
        <v>54400</v>
      </c>
      <c r="E23" s="8">
        <f t="shared" si="3"/>
        <v>3.2000000000000001E-2</v>
      </c>
      <c r="F23" s="18">
        <f t="shared" si="4"/>
        <v>158720000</v>
      </c>
      <c r="G23" s="13">
        <f t="shared" si="2"/>
        <v>8.2947945589807157E-2</v>
      </c>
      <c r="H23" s="1">
        <f t="shared" si="5"/>
        <v>6.5283496604427393E-2</v>
      </c>
    </row>
    <row r="24" spans="3:8" x14ac:dyDescent="0.25">
      <c r="C24" t="s">
        <v>13</v>
      </c>
      <c r="D24" s="2">
        <f>ROUND('500TAF Basis'!D15*$D$1,0)</f>
        <v>17000</v>
      </c>
      <c r="E24" s="8">
        <f t="shared" si="3"/>
        <v>0.01</v>
      </c>
      <c r="F24" s="18">
        <f t="shared" si="4"/>
        <v>49600000</v>
      </c>
      <c r="G24" s="13">
        <f t="shared" si="2"/>
        <v>2.5921232996814737E-2</v>
      </c>
      <c r="H24" s="1">
        <f t="shared" si="5"/>
        <v>3.6770140307931173E-2</v>
      </c>
    </row>
    <row r="25" spans="3:8" x14ac:dyDescent="0.25">
      <c r="C25" t="s">
        <v>14</v>
      </c>
      <c r="D25" s="2">
        <f>ROUND('500TAF Basis'!D16*$D$1,0)</f>
        <v>1530</v>
      </c>
      <c r="E25" s="8">
        <f t="shared" si="3"/>
        <v>8.9999999999999998E-4</v>
      </c>
      <c r="F25" s="18">
        <f t="shared" si="4"/>
        <v>4464000</v>
      </c>
      <c r="G25" s="13">
        <f t="shared" si="2"/>
        <v>2.3329109697133262E-3</v>
      </c>
      <c r="H25" s="1">
        <f t="shared" si="5"/>
        <v>2.497597929438047E-2</v>
      </c>
    </row>
    <row r="26" spans="3:8" x14ac:dyDescent="0.25">
      <c r="C26" t="s">
        <v>15</v>
      </c>
      <c r="D26" s="2">
        <f>ROUND('500TAF Basis'!D17*$D$1,0)</f>
        <v>6800</v>
      </c>
      <c r="E26" s="8">
        <f t="shared" si="3"/>
        <v>4.0000000000000001E-3</v>
      </c>
      <c r="F26" s="18">
        <f t="shared" si="4"/>
        <v>19840000</v>
      </c>
      <c r="G26" s="13">
        <f t="shared" si="2"/>
        <v>1.0368493198725895E-2</v>
      </c>
      <c r="H26" s="1">
        <f t="shared" si="5"/>
        <v>2.8993770408886756E-2</v>
      </c>
    </row>
    <row r="27" spans="3:8" x14ac:dyDescent="0.25">
      <c r="C27" t="s">
        <v>16</v>
      </c>
      <c r="D27" s="2">
        <f>ROUND('500TAF Basis'!D18*$D$1,0)</f>
        <v>9238</v>
      </c>
      <c r="E27" s="8">
        <f t="shared" si="3"/>
        <v>5.4341176470588236E-3</v>
      </c>
      <c r="F27" s="18">
        <f t="shared" si="4"/>
        <v>26953223.529411767</v>
      </c>
      <c r="G27" s="13">
        <f t="shared" si="2"/>
        <v>1.4085902966151444E-2</v>
      </c>
      <c r="H27" s="1">
        <f t="shared" si="5"/>
        <v>3.0852475292599532E-2</v>
      </c>
    </row>
    <row r="28" spans="3:8" x14ac:dyDescent="0.25">
      <c r="C28" t="s">
        <v>17</v>
      </c>
      <c r="D28" s="2">
        <f>ROUND('500TAF Basis'!D19*$D$1,0)</f>
        <v>3400</v>
      </c>
      <c r="E28" s="8">
        <f t="shared" si="3"/>
        <v>2E-3</v>
      </c>
      <c r="F28" s="18">
        <f t="shared" si="4"/>
        <v>9920000</v>
      </c>
      <c r="G28" s="13">
        <f t="shared" si="2"/>
        <v>5.1842465993629473E-3</v>
      </c>
      <c r="H28" s="1">
        <f t="shared" si="5"/>
        <v>2.6401647109205281E-2</v>
      </c>
    </row>
    <row r="29" spans="3:8" x14ac:dyDescent="0.25">
      <c r="C29" t="s">
        <v>18</v>
      </c>
      <c r="D29" s="2">
        <f>ROUND('500TAF Basis'!D20*$D$1,0)</f>
        <v>51000</v>
      </c>
      <c r="E29" s="8">
        <f t="shared" si="3"/>
        <v>0.03</v>
      </c>
      <c r="F29" s="18">
        <f t="shared" si="4"/>
        <v>148800000</v>
      </c>
      <c r="G29" s="13">
        <f t="shared" si="2"/>
        <v>7.7763698990444219E-2</v>
      </c>
      <c r="H29" s="1">
        <f t="shared" si="5"/>
        <v>6.2691373304745918E-2</v>
      </c>
    </row>
    <row r="30" spans="3:8" x14ac:dyDescent="0.25">
      <c r="C30" t="s">
        <v>19</v>
      </c>
      <c r="D30" s="2">
        <f>ROUND('500TAF Basis'!D21*$D$1,0)</f>
        <v>10370</v>
      </c>
      <c r="E30" s="8">
        <f t="shared" si="3"/>
        <v>6.1000000000000004E-3</v>
      </c>
      <c r="F30" s="18">
        <f t="shared" si="4"/>
        <v>30256000.000000004</v>
      </c>
      <c r="G30" s="13">
        <f t="shared" si="2"/>
        <v>1.5811952128056989E-2</v>
      </c>
      <c r="H30" s="1">
        <f t="shared" si="5"/>
        <v>3.1715499873552301E-2</v>
      </c>
    </row>
    <row r="31" spans="3:8" x14ac:dyDescent="0.25">
      <c r="C31" t="s">
        <v>20</v>
      </c>
      <c r="D31" s="2">
        <f>ROUND('500TAF Basis'!D22*$D$1,0)</f>
        <v>34000</v>
      </c>
      <c r="E31" s="8">
        <f t="shared" si="3"/>
        <v>0.02</v>
      </c>
      <c r="F31" s="18">
        <f t="shared" si="4"/>
        <v>99200000</v>
      </c>
      <c r="G31" s="13">
        <f t="shared" si="2"/>
        <v>5.1842465993629475E-2</v>
      </c>
      <c r="H31" s="1">
        <f t="shared" si="5"/>
        <v>4.9730756806338546E-2</v>
      </c>
    </row>
    <row r="32" spans="3:8" x14ac:dyDescent="0.25">
      <c r="C32" s="7" t="s">
        <v>31</v>
      </c>
      <c r="D32" s="4">
        <f>SUM(D11:D31)</f>
        <v>655833</v>
      </c>
      <c r="E32" s="9">
        <f>SUM(E11:E31)</f>
        <v>0.38578411764705889</v>
      </c>
      <c r="F32" s="19">
        <f>SUM(F11:F31)</f>
        <v>1913489223.5294118</v>
      </c>
      <c r="G32" s="5">
        <f>SUM(G11:G31)</f>
        <v>1</v>
      </c>
      <c r="H32" s="5">
        <f>SUM(H11:H31)</f>
        <v>0.99999999999999989</v>
      </c>
    </row>
    <row r="34" spans="3:6" x14ac:dyDescent="0.25">
      <c r="C34" s="3" t="s">
        <v>41</v>
      </c>
      <c r="D34" s="4">
        <f>D1-D8-D32</f>
        <v>409167</v>
      </c>
      <c r="E34" s="10">
        <f t="shared" ref="E34" si="6">D34/$D$1</f>
        <v>0.24068647058823531</v>
      </c>
      <c r="F34" s="19">
        <f t="shared" ref="F34" si="7">$H$3*E34</f>
        <v>1193804894.1176472</v>
      </c>
    </row>
    <row r="35" spans="3:6" x14ac:dyDescent="0.25">
      <c r="F35" s="18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5"/>
  <sheetViews>
    <sheetView zoomScaleNormal="100" workbookViewId="0">
      <selection activeCell="A23" sqref="A23:XFD23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4.28515625" customWidth="1"/>
    <col min="10" max="10" width="3.5703125" customWidth="1"/>
    <col min="11" max="11" width="13" customWidth="1"/>
    <col min="12" max="12" width="12.28515625" customWidth="1"/>
  </cols>
  <sheetData>
    <row r="1" spans="3:12" x14ac:dyDescent="0.25">
      <c r="C1" s="3" t="s">
        <v>27</v>
      </c>
      <c r="D1" s="4">
        <v>1690000</v>
      </c>
      <c r="G1" s="3" t="s">
        <v>40</v>
      </c>
      <c r="H1" s="16">
        <f>5.2*10^9</f>
        <v>5200000000</v>
      </c>
    </row>
    <row r="2" spans="3:12" x14ac:dyDescent="0.25">
      <c r="G2" s="3" t="s">
        <v>38</v>
      </c>
      <c r="H2" s="16">
        <f>0.24*10^9</f>
        <v>240000000</v>
      </c>
    </row>
    <row r="3" spans="3:12" x14ac:dyDescent="0.25">
      <c r="G3" s="3" t="s">
        <v>39</v>
      </c>
      <c r="H3" s="16">
        <f>H1-H2</f>
        <v>4960000000</v>
      </c>
      <c r="L3" s="15"/>
    </row>
    <row r="4" spans="3:12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12" x14ac:dyDescent="0.25">
      <c r="C5" t="s">
        <v>21</v>
      </c>
      <c r="D5" s="2">
        <v>425000</v>
      </c>
      <c r="E5" s="11">
        <f>D5/$D$1</f>
        <v>0.25147928994082841</v>
      </c>
      <c r="F5" s="18">
        <f>$H$3*E5</f>
        <v>1247337278.106509</v>
      </c>
    </row>
    <row r="6" spans="3:12" x14ac:dyDescent="0.25">
      <c r="C6" t="s">
        <v>22</v>
      </c>
      <c r="D6" s="2">
        <v>90000</v>
      </c>
      <c r="E6" s="11">
        <f>D6/$D$1</f>
        <v>5.3254437869822487E-2</v>
      </c>
      <c r="F6" s="18">
        <f t="shared" ref="F6:F7" si="0">$H$3*E6</f>
        <v>264142011.83431953</v>
      </c>
      <c r="H6" s="17"/>
    </row>
    <row r="7" spans="3:12" x14ac:dyDescent="0.25">
      <c r="C7" t="s">
        <v>23</v>
      </c>
      <c r="D7" s="2">
        <v>120000</v>
      </c>
      <c r="E7" s="11">
        <f t="shared" ref="E7" si="1">D7/$D$1</f>
        <v>7.1005917159763315E-2</v>
      </c>
      <c r="F7" s="18">
        <f t="shared" si="0"/>
        <v>352189349.11242604</v>
      </c>
    </row>
    <row r="8" spans="3:12" x14ac:dyDescent="0.25">
      <c r="C8" s="7" t="s">
        <v>30</v>
      </c>
      <c r="D8" s="4">
        <f>SUM(D5:D7)</f>
        <v>635000</v>
      </c>
      <c r="E8" s="9">
        <f>SUM(E5:E7)</f>
        <v>0.37573964497041423</v>
      </c>
      <c r="F8" s="19">
        <f>SUM(F5:F7)</f>
        <v>1863668639.0532546</v>
      </c>
    </row>
    <row r="9" spans="3:12" x14ac:dyDescent="0.25">
      <c r="D9" s="2"/>
    </row>
    <row r="10" spans="3:12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12" x14ac:dyDescent="0.25">
      <c r="C11" t="s">
        <v>0</v>
      </c>
      <c r="D11" s="2">
        <f>ROUND('500TAF Basis'!D2*$D$1,0)</f>
        <v>13520</v>
      </c>
      <c r="E11" s="8">
        <f>D11/$D$1</f>
        <v>8.0000000000000002E-3</v>
      </c>
      <c r="F11" s="18">
        <f>$H$3*E11</f>
        <v>39680000</v>
      </c>
      <c r="G11" s="13">
        <f t="shared" ref="G11:G31" si="2">D11/$D$32</f>
        <v>2.073699144905863E-2</v>
      </c>
      <c r="H11" s="1">
        <f>((1/21)+G11)/2</f>
        <v>3.4178019534053125E-2</v>
      </c>
    </row>
    <row r="12" spans="3:12" x14ac:dyDescent="0.25">
      <c r="C12" t="s">
        <v>1</v>
      </c>
      <c r="D12" s="2">
        <f>ROUND('500TAF Basis'!D3*$D$1,0)</f>
        <v>1690</v>
      </c>
      <c r="E12" s="8">
        <f t="shared" ref="E12:E31" si="3">D12/$D$1</f>
        <v>1E-3</v>
      </c>
      <c r="F12" s="18">
        <f t="shared" ref="F12:F31" si="4">$H$3*E12</f>
        <v>4960000</v>
      </c>
      <c r="G12" s="13">
        <f t="shared" si="2"/>
        <v>2.5921239311323288E-3</v>
      </c>
      <c r="H12" s="1">
        <f t="shared" ref="H12:H31" si="5">((1/21)+G12)/2</f>
        <v>2.5105585775089971E-2</v>
      </c>
    </row>
    <row r="13" spans="3:12" x14ac:dyDescent="0.25">
      <c r="C13" t="s">
        <v>2</v>
      </c>
      <c r="D13" s="2">
        <f>ROUND('500TAF Basis'!D4*$D$1,0)</f>
        <v>1014</v>
      </c>
      <c r="E13" s="8">
        <f t="shared" si="3"/>
        <v>5.9999999999999995E-4</v>
      </c>
      <c r="F13" s="18">
        <f t="shared" si="4"/>
        <v>2975999.9999999995</v>
      </c>
      <c r="G13" s="13">
        <f t="shared" si="2"/>
        <v>1.5552743586793973E-3</v>
      </c>
      <c r="H13" s="1">
        <f t="shared" si="5"/>
        <v>2.4587160988863505E-2</v>
      </c>
    </row>
    <row r="14" spans="3:12" x14ac:dyDescent="0.25">
      <c r="C14" t="s">
        <v>3</v>
      </c>
      <c r="D14" s="2">
        <f>ROUND('500TAF Basis'!D5*$D$1,0)</f>
        <v>33800</v>
      </c>
      <c r="E14" s="8">
        <f t="shared" si="3"/>
        <v>0.02</v>
      </c>
      <c r="F14" s="18">
        <f t="shared" si="4"/>
        <v>99200000</v>
      </c>
      <c r="G14" s="13">
        <f t="shared" si="2"/>
        <v>5.1842478622646571E-2</v>
      </c>
      <c r="H14" s="1">
        <f t="shared" si="5"/>
        <v>4.9730763120847093E-2</v>
      </c>
    </row>
    <row r="15" spans="3:12" x14ac:dyDescent="0.25">
      <c r="C15" t="s">
        <v>4</v>
      </c>
      <c r="D15" s="2">
        <f>ROUND('500TAF Basis'!D6*$D$1,0)</f>
        <v>33800</v>
      </c>
      <c r="E15" s="8">
        <f t="shared" si="3"/>
        <v>0.02</v>
      </c>
      <c r="F15" s="18">
        <f t="shared" si="4"/>
        <v>99200000</v>
      </c>
      <c r="G15" s="13">
        <f t="shared" si="2"/>
        <v>5.1842478622646571E-2</v>
      </c>
      <c r="H15" s="1">
        <f t="shared" si="5"/>
        <v>4.9730763120847093E-2</v>
      </c>
    </row>
    <row r="16" spans="3:12" x14ac:dyDescent="0.25">
      <c r="C16" t="s">
        <v>5</v>
      </c>
      <c r="D16" s="2">
        <f>ROUND('500TAF Basis'!D7*$D$1,0)</f>
        <v>40476</v>
      </c>
      <c r="E16" s="8">
        <f t="shared" si="3"/>
        <v>2.3950295857988167E-2</v>
      </c>
      <c r="F16" s="18">
        <f t="shared" si="4"/>
        <v>118793467.4556213</v>
      </c>
      <c r="G16" s="13">
        <f t="shared" si="2"/>
        <v>6.2082135051190611E-2</v>
      </c>
      <c r="H16" s="1">
        <f t="shared" si="5"/>
        <v>5.4850591335119117E-2</v>
      </c>
    </row>
    <row r="17" spans="3:8" x14ac:dyDescent="0.25">
      <c r="C17" t="s">
        <v>6</v>
      </c>
      <c r="D17" s="2">
        <f>ROUND('500TAF Basis'!D8*$D$1,0)</f>
        <v>21970</v>
      </c>
      <c r="E17" s="8">
        <f t="shared" si="3"/>
        <v>1.2999999999999999E-2</v>
      </c>
      <c r="F17" s="18">
        <f t="shared" si="4"/>
        <v>64480000</v>
      </c>
      <c r="G17" s="13">
        <f t="shared" si="2"/>
        <v>3.3697611104720276E-2</v>
      </c>
      <c r="H17" s="1">
        <f t="shared" si="5"/>
        <v>4.0658329361883946E-2</v>
      </c>
    </row>
    <row r="18" spans="3:8" x14ac:dyDescent="0.25">
      <c r="C18" t="s">
        <v>7</v>
      </c>
      <c r="D18" s="2">
        <f>ROUND('500TAF Basis'!D9*$D$1,0)</f>
        <v>16900</v>
      </c>
      <c r="E18" s="8">
        <f t="shared" si="3"/>
        <v>0.01</v>
      </c>
      <c r="F18" s="18">
        <f t="shared" si="4"/>
        <v>49600000</v>
      </c>
      <c r="G18" s="13">
        <f t="shared" si="2"/>
        <v>2.5921239311323285E-2</v>
      </c>
      <c r="H18" s="1">
        <f t="shared" si="5"/>
        <v>3.6770143465185451E-2</v>
      </c>
    </row>
    <row r="19" spans="3:8" x14ac:dyDescent="0.25">
      <c r="C19" t="s">
        <v>8</v>
      </c>
      <c r="D19" s="2">
        <f>ROUND('500TAF Basis'!D10*$D$1,0)</f>
        <v>169000</v>
      </c>
      <c r="E19" s="8">
        <f t="shared" si="3"/>
        <v>0.1</v>
      </c>
      <c r="F19" s="18">
        <f t="shared" si="4"/>
        <v>496000000</v>
      </c>
      <c r="G19" s="13">
        <f t="shared" si="2"/>
        <v>0.25921239311323285</v>
      </c>
      <c r="H19" s="1">
        <f t="shared" si="5"/>
        <v>0.15341572036614023</v>
      </c>
    </row>
    <row r="20" spans="3:8" x14ac:dyDescent="0.25">
      <c r="C20" t="s">
        <v>9</v>
      </c>
      <c r="D20" s="2">
        <f>ROUND('500TAF Basis'!D11*$D$1,0)</f>
        <v>13520</v>
      </c>
      <c r="E20" s="8">
        <f t="shared" si="3"/>
        <v>8.0000000000000002E-3</v>
      </c>
      <c r="F20" s="18">
        <f t="shared" si="4"/>
        <v>39680000</v>
      </c>
      <c r="G20" s="13">
        <f t="shared" si="2"/>
        <v>2.073699144905863E-2</v>
      </c>
      <c r="H20" s="1">
        <f t="shared" si="5"/>
        <v>3.4178019534053125E-2</v>
      </c>
    </row>
    <row r="21" spans="3:8" x14ac:dyDescent="0.25">
      <c r="C21" t="s">
        <v>10</v>
      </c>
      <c r="D21" s="2">
        <f>ROUND('500TAF Basis'!D12*$D$1,0)</f>
        <v>72332</v>
      </c>
      <c r="E21" s="8">
        <f t="shared" si="3"/>
        <v>4.2799999999999998E-2</v>
      </c>
      <c r="F21" s="18">
        <f t="shared" si="4"/>
        <v>212288000</v>
      </c>
      <c r="G21" s="13">
        <f t="shared" si="2"/>
        <v>0.11094290425246367</v>
      </c>
      <c r="H21" s="1">
        <f t="shared" si="5"/>
        <v>7.9280975935755643E-2</v>
      </c>
    </row>
    <row r="22" spans="3:8" x14ac:dyDescent="0.25">
      <c r="C22" t="s">
        <v>11</v>
      </c>
      <c r="D22" s="2">
        <f>ROUND('500TAF Basis'!D13*$D$1,0)</f>
        <v>47320</v>
      </c>
      <c r="E22" s="8">
        <f t="shared" si="3"/>
        <v>2.8000000000000001E-2</v>
      </c>
      <c r="F22" s="18">
        <f t="shared" si="4"/>
        <v>138880000</v>
      </c>
      <c r="G22" s="13">
        <f t="shared" si="2"/>
        <v>7.2579470071705204E-2</v>
      </c>
      <c r="H22" s="1">
        <f t="shared" si="5"/>
        <v>6.009925884537641E-2</v>
      </c>
    </row>
    <row r="23" spans="3:8" x14ac:dyDescent="0.25">
      <c r="C23" t="s">
        <v>12</v>
      </c>
      <c r="D23" s="2">
        <f>ROUND('500TAF Basis'!D14*$D$1,0)</f>
        <v>54080</v>
      </c>
      <c r="E23" s="8">
        <f t="shared" si="3"/>
        <v>3.2000000000000001E-2</v>
      </c>
      <c r="F23" s="18">
        <f t="shared" si="4"/>
        <v>158720000</v>
      </c>
      <c r="G23" s="13">
        <f t="shared" si="2"/>
        <v>8.2947965796234521E-2</v>
      </c>
      <c r="H23" s="1">
        <f t="shared" si="5"/>
        <v>6.5283506707641076E-2</v>
      </c>
    </row>
    <row r="24" spans="3:8" x14ac:dyDescent="0.25">
      <c r="C24" t="s">
        <v>13</v>
      </c>
      <c r="D24" s="2">
        <f>ROUND('500TAF Basis'!D15*$D$1,0)</f>
        <v>16900</v>
      </c>
      <c r="E24" s="8">
        <f t="shared" si="3"/>
        <v>0.01</v>
      </c>
      <c r="F24" s="18">
        <f t="shared" si="4"/>
        <v>49600000</v>
      </c>
      <c r="G24" s="13">
        <f t="shared" si="2"/>
        <v>2.5921239311323285E-2</v>
      </c>
      <c r="H24" s="1">
        <f t="shared" si="5"/>
        <v>3.6770143465185451E-2</v>
      </c>
    </row>
    <row r="25" spans="3:8" x14ac:dyDescent="0.25">
      <c r="C25" t="s">
        <v>14</v>
      </c>
      <c r="D25" s="2">
        <f>ROUND('500TAF Basis'!D16*$D$1,0)</f>
        <v>1521</v>
      </c>
      <c r="E25" s="8">
        <f t="shared" si="3"/>
        <v>8.9999999999999998E-4</v>
      </c>
      <c r="F25" s="18">
        <f t="shared" si="4"/>
        <v>4464000</v>
      </c>
      <c r="G25" s="13">
        <f t="shared" si="2"/>
        <v>2.3329115380190959E-3</v>
      </c>
      <c r="H25" s="1">
        <f t="shared" si="5"/>
        <v>2.4975979578533355E-2</v>
      </c>
    </row>
    <row r="26" spans="3:8" x14ac:dyDescent="0.25">
      <c r="C26" t="s">
        <v>15</v>
      </c>
      <c r="D26" s="2">
        <f>ROUND('500TAF Basis'!D17*$D$1,0)</f>
        <v>6760</v>
      </c>
      <c r="E26" s="8">
        <f t="shared" si="3"/>
        <v>4.0000000000000001E-3</v>
      </c>
      <c r="F26" s="18">
        <f t="shared" si="4"/>
        <v>19840000</v>
      </c>
      <c r="G26" s="13">
        <f t="shared" si="2"/>
        <v>1.0368495724529315E-2</v>
      </c>
      <c r="H26" s="1">
        <f t="shared" si="5"/>
        <v>2.8993771671788467E-2</v>
      </c>
    </row>
    <row r="27" spans="3:8" x14ac:dyDescent="0.25">
      <c r="C27" t="s">
        <v>16</v>
      </c>
      <c r="D27" s="2">
        <f>ROUND('500TAF Basis'!D18*$D$1,0)</f>
        <v>9183</v>
      </c>
      <c r="E27" s="8">
        <f t="shared" si="3"/>
        <v>5.4337278106508877E-3</v>
      </c>
      <c r="F27" s="18">
        <f t="shared" si="4"/>
        <v>26951289.940828402</v>
      </c>
      <c r="G27" s="13">
        <f t="shared" si="2"/>
        <v>1.408489589324744E-2</v>
      </c>
      <c r="H27" s="1">
        <f t="shared" si="5"/>
        <v>3.0851971756147529E-2</v>
      </c>
    </row>
    <row r="28" spans="3:8" x14ac:dyDescent="0.25">
      <c r="C28" t="s">
        <v>17</v>
      </c>
      <c r="D28" s="2">
        <f>ROUND('500TAF Basis'!D19*$D$1,0)</f>
        <v>3380</v>
      </c>
      <c r="E28" s="8">
        <f t="shared" si="3"/>
        <v>2E-3</v>
      </c>
      <c r="F28" s="18">
        <f t="shared" si="4"/>
        <v>9920000</v>
      </c>
      <c r="G28" s="13">
        <f t="shared" si="2"/>
        <v>5.1842478622646576E-3</v>
      </c>
      <c r="H28" s="1">
        <f t="shared" si="5"/>
        <v>2.6401647740656137E-2</v>
      </c>
    </row>
    <row r="29" spans="3:8" x14ac:dyDescent="0.25">
      <c r="C29" t="s">
        <v>18</v>
      </c>
      <c r="D29" s="2">
        <f>ROUND('500TAF Basis'!D20*$D$1,0)</f>
        <v>50700</v>
      </c>
      <c r="E29" s="8">
        <f t="shared" si="3"/>
        <v>0.03</v>
      </c>
      <c r="F29" s="18">
        <f t="shared" si="4"/>
        <v>148800000</v>
      </c>
      <c r="G29" s="13">
        <f t="shared" si="2"/>
        <v>7.7763717933969856E-2</v>
      </c>
      <c r="H29" s="1">
        <f t="shared" si="5"/>
        <v>6.2691382776508736E-2</v>
      </c>
    </row>
    <row r="30" spans="3:8" x14ac:dyDescent="0.25">
      <c r="C30" t="s">
        <v>19</v>
      </c>
      <c r="D30" s="2">
        <f>ROUND('500TAF Basis'!D21*$D$1,0)</f>
        <v>10309</v>
      </c>
      <c r="E30" s="8">
        <f t="shared" si="3"/>
        <v>6.1000000000000004E-3</v>
      </c>
      <c r="F30" s="18">
        <f t="shared" si="4"/>
        <v>30256000.000000004</v>
      </c>
      <c r="G30" s="13">
        <f t="shared" si="2"/>
        <v>1.5811955979907207E-2</v>
      </c>
      <c r="H30" s="1">
        <f t="shared" si="5"/>
        <v>3.1715501799477408E-2</v>
      </c>
    </row>
    <row r="31" spans="3:8" x14ac:dyDescent="0.25">
      <c r="C31" t="s">
        <v>20</v>
      </c>
      <c r="D31" s="2">
        <f>ROUND('500TAF Basis'!D22*$D$1,0)</f>
        <v>33800</v>
      </c>
      <c r="E31" s="8">
        <f t="shared" si="3"/>
        <v>0.02</v>
      </c>
      <c r="F31" s="18">
        <f t="shared" si="4"/>
        <v>99200000</v>
      </c>
      <c r="G31" s="13">
        <f t="shared" si="2"/>
        <v>5.1842478622646571E-2</v>
      </c>
      <c r="H31" s="1">
        <f t="shared" si="5"/>
        <v>4.9730763120847093E-2</v>
      </c>
    </row>
    <row r="32" spans="3:8" x14ac:dyDescent="0.25">
      <c r="C32" s="7" t="s">
        <v>31</v>
      </c>
      <c r="D32" s="4">
        <f>SUM(D11:D31)</f>
        <v>651975</v>
      </c>
      <c r="E32" s="9">
        <f>SUM(E11:E31)</f>
        <v>0.38578402366863918</v>
      </c>
      <c r="F32" s="19">
        <f>SUM(F11:F31)</f>
        <v>1913488757.3964496</v>
      </c>
      <c r="G32" s="5">
        <f>SUM(G11:G31)</f>
        <v>1</v>
      </c>
      <c r="H32" s="5">
        <f>SUM(H11:H31)</f>
        <v>1</v>
      </c>
    </row>
    <row r="34" spans="3:6" x14ac:dyDescent="0.25">
      <c r="C34" s="3" t="s">
        <v>41</v>
      </c>
      <c r="D34" s="4">
        <f>D1-D8-D32</f>
        <v>403025</v>
      </c>
      <c r="E34" s="10">
        <f t="shared" ref="E34" si="6">D34/$D$1</f>
        <v>0.23847633136094676</v>
      </c>
      <c r="F34" s="19">
        <f t="shared" ref="F34" si="7">$H$3*E34</f>
        <v>1182842603.5502958</v>
      </c>
    </row>
    <row r="35" spans="3:6" x14ac:dyDescent="0.25">
      <c r="F35" s="18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E23"/>
  <sheetViews>
    <sheetView workbookViewId="0">
      <selection activeCell="D23" sqref="D23"/>
    </sheetView>
  </sheetViews>
  <sheetFormatPr defaultRowHeight="15" x14ac:dyDescent="0.25"/>
  <cols>
    <col min="2" max="2" width="43.85546875" bestFit="1" customWidth="1"/>
    <col min="3" max="3" width="23.85546875" bestFit="1" customWidth="1"/>
    <col min="4" max="4" width="15" bestFit="1" customWidth="1"/>
    <col min="5" max="5" width="18.28515625" bestFit="1" customWidth="1"/>
  </cols>
  <sheetData>
    <row r="1" spans="2:5" x14ac:dyDescent="0.25">
      <c r="B1" t="s">
        <v>32</v>
      </c>
      <c r="C1" t="s">
        <v>33</v>
      </c>
      <c r="D1" t="s">
        <v>34</v>
      </c>
    </row>
    <row r="2" spans="2:5" x14ac:dyDescent="0.25">
      <c r="B2" t="s">
        <v>0</v>
      </c>
      <c r="C2" s="2">
        <v>4000</v>
      </c>
      <c r="D2" s="12">
        <f>C2/500000</f>
        <v>8.0000000000000002E-3</v>
      </c>
    </row>
    <row r="3" spans="2:5" x14ac:dyDescent="0.25">
      <c r="B3" t="s">
        <v>1</v>
      </c>
      <c r="C3" s="2">
        <v>500</v>
      </c>
      <c r="D3" s="12">
        <f t="shared" ref="D3:D22" si="0">C3/500000</f>
        <v>1E-3</v>
      </c>
    </row>
    <row r="4" spans="2:5" x14ac:dyDescent="0.25">
      <c r="B4" t="s">
        <v>2</v>
      </c>
      <c r="C4" s="2">
        <v>300</v>
      </c>
      <c r="D4" s="12">
        <f t="shared" si="0"/>
        <v>5.9999999999999995E-4</v>
      </c>
    </row>
    <row r="5" spans="2:5" x14ac:dyDescent="0.25">
      <c r="B5" t="s">
        <v>3</v>
      </c>
      <c r="C5" s="2">
        <v>10000</v>
      </c>
      <c r="D5" s="12">
        <f t="shared" si="0"/>
        <v>0.02</v>
      </c>
    </row>
    <row r="6" spans="2:5" x14ac:dyDescent="0.25">
      <c r="B6" t="s">
        <v>4</v>
      </c>
      <c r="C6" s="2">
        <v>10000</v>
      </c>
      <c r="D6" s="12">
        <f t="shared" si="0"/>
        <v>0.02</v>
      </c>
    </row>
    <row r="7" spans="2:5" x14ac:dyDescent="0.25">
      <c r="B7" t="s">
        <v>5</v>
      </c>
      <c r="C7" s="2">
        <v>11975</v>
      </c>
      <c r="D7" s="12">
        <f t="shared" si="0"/>
        <v>2.3949999999999999E-2</v>
      </c>
    </row>
    <row r="8" spans="2:5" x14ac:dyDescent="0.25">
      <c r="B8" t="s">
        <v>6</v>
      </c>
      <c r="C8" s="2">
        <v>6500</v>
      </c>
      <c r="D8" s="12">
        <f t="shared" si="0"/>
        <v>1.2999999999999999E-2</v>
      </c>
      <c r="E8" s="14"/>
    </row>
    <row r="9" spans="2:5" x14ac:dyDescent="0.25">
      <c r="B9" t="s">
        <v>7</v>
      </c>
      <c r="C9" s="2">
        <v>5000</v>
      </c>
      <c r="D9" s="12">
        <f t="shared" si="0"/>
        <v>0.01</v>
      </c>
    </row>
    <row r="10" spans="2:5" x14ac:dyDescent="0.25">
      <c r="B10" t="s">
        <v>8</v>
      </c>
      <c r="C10" s="2">
        <v>50000</v>
      </c>
      <c r="D10" s="12">
        <f t="shared" si="0"/>
        <v>0.1</v>
      </c>
    </row>
    <row r="11" spans="2:5" x14ac:dyDescent="0.25">
      <c r="B11" t="s">
        <v>9</v>
      </c>
      <c r="C11" s="2">
        <v>4000</v>
      </c>
      <c r="D11" s="12">
        <f t="shared" si="0"/>
        <v>8.0000000000000002E-3</v>
      </c>
    </row>
    <row r="12" spans="2:5" x14ac:dyDescent="0.25">
      <c r="B12" t="s">
        <v>10</v>
      </c>
      <c r="C12" s="2">
        <v>21400</v>
      </c>
      <c r="D12" s="12">
        <f t="shared" si="0"/>
        <v>4.2799999999999998E-2</v>
      </c>
    </row>
    <row r="13" spans="2:5" x14ac:dyDescent="0.25">
      <c r="B13" t="s">
        <v>11</v>
      </c>
      <c r="C13" s="2">
        <v>14000</v>
      </c>
      <c r="D13" s="12">
        <f t="shared" si="0"/>
        <v>2.8000000000000001E-2</v>
      </c>
    </row>
    <row r="14" spans="2:5" x14ac:dyDescent="0.25">
      <c r="B14" t="s">
        <v>12</v>
      </c>
      <c r="C14" s="2">
        <v>16000</v>
      </c>
      <c r="D14" s="12">
        <f t="shared" si="0"/>
        <v>3.2000000000000001E-2</v>
      </c>
    </row>
    <row r="15" spans="2:5" x14ac:dyDescent="0.25">
      <c r="B15" t="s">
        <v>13</v>
      </c>
      <c r="C15" s="2">
        <v>5000</v>
      </c>
      <c r="D15" s="12">
        <f t="shared" si="0"/>
        <v>0.01</v>
      </c>
    </row>
    <row r="16" spans="2:5" x14ac:dyDescent="0.25">
      <c r="B16" t="s">
        <v>14</v>
      </c>
      <c r="C16" s="2">
        <v>450</v>
      </c>
      <c r="D16" s="12">
        <f t="shared" si="0"/>
        <v>8.9999999999999998E-4</v>
      </c>
    </row>
    <row r="17" spans="2:4" x14ac:dyDescent="0.25">
      <c r="B17" t="s">
        <v>15</v>
      </c>
      <c r="C17" s="2">
        <v>2000</v>
      </c>
      <c r="D17" s="12">
        <f t="shared" si="0"/>
        <v>4.0000000000000001E-3</v>
      </c>
    </row>
    <row r="18" spans="2:4" x14ac:dyDescent="0.25">
      <c r="B18" t="s">
        <v>16</v>
      </c>
      <c r="C18" s="2">
        <v>2717</v>
      </c>
      <c r="D18" s="12">
        <f t="shared" si="0"/>
        <v>5.4339999999999996E-3</v>
      </c>
    </row>
    <row r="19" spans="2:4" x14ac:dyDescent="0.25">
      <c r="B19" t="s">
        <v>17</v>
      </c>
      <c r="C19" s="2">
        <v>1000</v>
      </c>
      <c r="D19" s="12">
        <f t="shared" si="0"/>
        <v>2E-3</v>
      </c>
    </row>
    <row r="20" spans="2:4" x14ac:dyDescent="0.25">
      <c r="B20" t="s">
        <v>18</v>
      </c>
      <c r="C20" s="2">
        <v>15000</v>
      </c>
      <c r="D20" s="12">
        <f t="shared" si="0"/>
        <v>0.03</v>
      </c>
    </row>
    <row r="21" spans="2:4" x14ac:dyDescent="0.25">
      <c r="B21" t="s">
        <v>19</v>
      </c>
      <c r="C21" s="2">
        <v>3050</v>
      </c>
      <c r="D21" s="12">
        <f t="shared" si="0"/>
        <v>6.1000000000000004E-3</v>
      </c>
    </row>
    <row r="22" spans="2:4" x14ac:dyDescent="0.25">
      <c r="B22" t="s">
        <v>20</v>
      </c>
      <c r="C22" s="2">
        <v>10000</v>
      </c>
      <c r="D22" s="12">
        <f t="shared" si="0"/>
        <v>0.02</v>
      </c>
    </row>
    <row r="23" spans="2:4" x14ac:dyDescent="0.25">
      <c r="B23" t="s">
        <v>36</v>
      </c>
      <c r="C23" s="2">
        <f>SUM(C2:C22)</f>
        <v>192892</v>
      </c>
      <c r="D23" s="12">
        <f>SUM(D2:D22)</f>
        <v>0.38578400000000002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zoomScaleNormal="100" workbookViewId="0">
      <selection activeCell="D23" sqref="D23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bestFit="1" customWidth="1"/>
    <col min="7" max="7" width="21.42578125" bestFit="1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1750000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440000</v>
      </c>
      <c r="E5" s="11">
        <f>D5/$D$1</f>
        <v>0.25142857142857145</v>
      </c>
      <c r="F5" s="18">
        <f>$H$3*E5</f>
        <v>1247085714.2857144</v>
      </c>
    </row>
    <row r="6" spans="3:8" x14ac:dyDescent="0.25">
      <c r="C6" t="s">
        <v>22</v>
      </c>
      <c r="D6" s="2">
        <v>90000</v>
      </c>
      <c r="E6" s="11">
        <f t="shared" ref="E6:E7" si="0">D6/$D$1</f>
        <v>5.1428571428571428E-2</v>
      </c>
      <c r="F6" s="18">
        <f t="shared" ref="F6:F7" si="1">$H$3*E6</f>
        <v>255085714.28571427</v>
      </c>
      <c r="G6" s="21"/>
      <c r="H6" s="20"/>
    </row>
    <row r="7" spans="3:8" x14ac:dyDescent="0.25">
      <c r="C7" t="s">
        <v>23</v>
      </c>
      <c r="D7" s="2">
        <v>120000</v>
      </c>
      <c r="E7" s="11">
        <f t="shared" si="0"/>
        <v>6.8571428571428575E-2</v>
      </c>
      <c r="F7" s="18">
        <f t="shared" si="1"/>
        <v>340114285.71428573</v>
      </c>
      <c r="G7" s="21"/>
      <c r="H7" s="20"/>
    </row>
    <row r="8" spans="3:8" x14ac:dyDescent="0.25">
      <c r="C8" s="7" t="s">
        <v>30</v>
      </c>
      <c r="D8" s="4">
        <f>SUM(D5:D7)</f>
        <v>650000</v>
      </c>
      <c r="E8" s="9">
        <f>SUM(E5:E7)</f>
        <v>0.37142857142857144</v>
      </c>
      <c r="F8" s="19">
        <f>SUM(F5:F7)</f>
        <v>1842285714.2857146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ROUND(($D$1-$D$8)*'192,892AF Basis'!D2,0)</f>
        <v>22811</v>
      </c>
      <c r="E11" s="8">
        <f t="shared" ref="E11:E31" si="2">D11/$D$1</f>
        <v>1.3034857142857143E-2</v>
      </c>
      <c r="F11" s="18">
        <f>$H$3*E11</f>
        <v>64652891.428571433</v>
      </c>
      <c r="G11" s="13">
        <f t="shared" ref="G11:G31" si="3">D11/$D$32</f>
        <v>2.0737272727272726E-2</v>
      </c>
      <c r="H11" s="1">
        <f>((1/21)+G11)/2</f>
        <v>3.4178160173160173E-2</v>
      </c>
    </row>
    <row r="12" spans="3:8" x14ac:dyDescent="0.25">
      <c r="C12" t="s">
        <v>1</v>
      </c>
      <c r="D12" s="2">
        <f>ROUND(($D$1-$D$8)*'192,892AF Basis'!D3,0)</f>
        <v>2851</v>
      </c>
      <c r="E12" s="8">
        <f t="shared" si="2"/>
        <v>1.6291428571428572E-3</v>
      </c>
      <c r="F12" s="18">
        <f t="shared" ref="F12:F31" si="4">$H$3*E12</f>
        <v>8080548.5714285718</v>
      </c>
      <c r="G12" s="13">
        <f t="shared" si="3"/>
        <v>2.5918181818181817E-3</v>
      </c>
      <c r="H12" s="1">
        <f t="shared" ref="H12:H31" si="5">((1/21)+G12)/2</f>
        <v>2.5105432900432899E-2</v>
      </c>
    </row>
    <row r="13" spans="3:8" x14ac:dyDescent="0.25">
      <c r="C13" t="s">
        <v>2</v>
      </c>
      <c r="D13" s="2">
        <f>ROUND(($D$1-$D$8)*'192,892AF Basis'!D4,0)</f>
        <v>1711</v>
      </c>
      <c r="E13" s="8">
        <f t="shared" si="2"/>
        <v>9.7771428571428575E-4</v>
      </c>
      <c r="F13" s="18">
        <f t="shared" si="4"/>
        <v>4849462.8571428573</v>
      </c>
      <c r="G13" s="13">
        <f t="shared" si="3"/>
        <v>1.5554545454545454E-3</v>
      </c>
      <c r="H13" s="1">
        <f t="shared" si="5"/>
        <v>2.4587251082251082E-2</v>
      </c>
    </row>
    <row r="14" spans="3:8" x14ac:dyDescent="0.25">
      <c r="C14" t="s">
        <v>3</v>
      </c>
      <c r="D14" s="2">
        <f>ROUND(($D$1-$D$8)*'192,892AF Basis'!D5,0)</f>
        <v>57027</v>
      </c>
      <c r="E14" s="8">
        <f t="shared" si="2"/>
        <v>3.258685714285714E-2</v>
      </c>
      <c r="F14" s="18">
        <f t="shared" si="4"/>
        <v>161630811.4285714</v>
      </c>
      <c r="G14" s="13">
        <f t="shared" si="3"/>
        <v>5.1842727272727269E-2</v>
      </c>
      <c r="H14" s="1">
        <f t="shared" si="5"/>
        <v>4.9730887445887439E-2</v>
      </c>
    </row>
    <row r="15" spans="3:8" x14ac:dyDescent="0.25">
      <c r="C15" t="s">
        <v>4</v>
      </c>
      <c r="D15" s="2">
        <f>ROUND(($D$1-$D$8)*'192,892AF Basis'!D6,0)</f>
        <v>57027</v>
      </c>
      <c r="E15" s="8">
        <f t="shared" si="2"/>
        <v>3.258685714285714E-2</v>
      </c>
      <c r="F15" s="18">
        <f t="shared" si="4"/>
        <v>161630811.4285714</v>
      </c>
      <c r="G15" s="13">
        <f t="shared" si="3"/>
        <v>5.1842727272727269E-2</v>
      </c>
      <c r="H15" s="1">
        <f t="shared" si="5"/>
        <v>4.9730887445887439E-2</v>
      </c>
    </row>
    <row r="16" spans="3:8" x14ac:dyDescent="0.25">
      <c r="C16" t="s">
        <v>5</v>
      </c>
      <c r="D16" s="2">
        <f>ROUND(($D$1-$D$8)*'192,892AF Basis'!D7,0)</f>
        <v>68290</v>
      </c>
      <c r="E16" s="8">
        <f t="shared" si="2"/>
        <v>3.9022857142857144E-2</v>
      </c>
      <c r="F16" s="18">
        <f t="shared" si="4"/>
        <v>193553371.42857143</v>
      </c>
      <c r="G16" s="13">
        <f t="shared" si="3"/>
        <v>6.2081818181818182E-2</v>
      </c>
      <c r="H16" s="1">
        <f t="shared" si="5"/>
        <v>5.4850432900432899E-2</v>
      </c>
    </row>
    <row r="17" spans="3:8" x14ac:dyDescent="0.25">
      <c r="C17" t="s">
        <v>6</v>
      </c>
      <c r="D17" s="2">
        <f>ROUND(($D$1-$D$8)*'192,892AF Basis'!D8,0)</f>
        <v>37067</v>
      </c>
      <c r="E17" s="8">
        <f t="shared" si="2"/>
        <v>2.1181142857142857E-2</v>
      </c>
      <c r="F17" s="18">
        <f t="shared" si="4"/>
        <v>105058468.57142857</v>
      </c>
      <c r="G17" s="13">
        <f t="shared" si="3"/>
        <v>3.3697272727272728E-2</v>
      </c>
      <c r="H17" s="1">
        <f t="shared" si="5"/>
        <v>4.0658160173160172E-2</v>
      </c>
    </row>
    <row r="18" spans="3:8" x14ac:dyDescent="0.25">
      <c r="C18" t="s">
        <v>7</v>
      </c>
      <c r="D18" s="2">
        <f>ROUND(($D$1-$D$8)*'192,892AF Basis'!D9,0)</f>
        <v>28513</v>
      </c>
      <c r="E18" s="8">
        <f t="shared" si="2"/>
        <v>1.6293142857142857E-2</v>
      </c>
      <c r="F18" s="18">
        <f t="shared" si="4"/>
        <v>80813988.571428567</v>
      </c>
      <c r="G18" s="13">
        <f t="shared" si="3"/>
        <v>2.5920909090909092E-2</v>
      </c>
      <c r="H18" s="1">
        <f t="shared" si="5"/>
        <v>3.6769978354978354E-2</v>
      </c>
    </row>
    <row r="19" spans="3:8" x14ac:dyDescent="0.25">
      <c r="C19" t="s">
        <v>8</v>
      </c>
      <c r="D19" s="2">
        <f>ROUND(($D$1-$D$8)*'192,892AF Basis'!D10,0)</f>
        <v>285134</v>
      </c>
      <c r="E19" s="8">
        <f t="shared" si="2"/>
        <v>0.16293371428571429</v>
      </c>
      <c r="F19" s="18">
        <f t="shared" si="4"/>
        <v>808151222.85714293</v>
      </c>
      <c r="G19" s="13">
        <f t="shared" si="3"/>
        <v>0.25921272727272726</v>
      </c>
      <c r="H19" s="1">
        <f t="shared" si="5"/>
        <v>0.15341588744588744</v>
      </c>
    </row>
    <row r="20" spans="3:8" x14ac:dyDescent="0.25">
      <c r="C20" t="s">
        <v>9</v>
      </c>
      <c r="D20" s="2">
        <f>ROUND(($D$1-$D$8)*'192,892AF Basis'!D11,0)</f>
        <v>22811</v>
      </c>
      <c r="E20" s="8">
        <f t="shared" si="2"/>
        <v>1.3034857142857143E-2</v>
      </c>
      <c r="F20" s="18">
        <f t="shared" si="4"/>
        <v>64652891.428571433</v>
      </c>
      <c r="G20" s="13">
        <f t="shared" si="3"/>
        <v>2.0737272727272726E-2</v>
      </c>
      <c r="H20" s="1">
        <f t="shared" si="5"/>
        <v>3.4178160173160173E-2</v>
      </c>
    </row>
    <row r="21" spans="3:8" x14ac:dyDescent="0.25">
      <c r="C21" t="s">
        <v>10</v>
      </c>
      <c r="D21" s="2">
        <f>ROUND(($D$1-$D$8)*'192,892AF Basis'!D12,0)</f>
        <v>122037</v>
      </c>
      <c r="E21" s="8">
        <f t="shared" si="2"/>
        <v>6.9735428571428573E-2</v>
      </c>
      <c r="F21" s="18">
        <f t="shared" si="4"/>
        <v>345887725.71428573</v>
      </c>
      <c r="G21" s="13">
        <f t="shared" si="3"/>
        <v>0.11094272727272728</v>
      </c>
      <c r="H21" s="1">
        <f t="shared" si="5"/>
        <v>7.9280887445887446E-2</v>
      </c>
    </row>
    <row r="22" spans="3:8" x14ac:dyDescent="0.25">
      <c r="C22" t="s">
        <v>11</v>
      </c>
      <c r="D22" s="2">
        <f>ROUND(($D$1-$D$8)*'192,892AF Basis'!D13,0)</f>
        <v>79837</v>
      </c>
      <c r="E22" s="8">
        <f t="shared" si="2"/>
        <v>4.562114285714286E-2</v>
      </c>
      <c r="F22" s="18">
        <f t="shared" si="4"/>
        <v>226280868.5714286</v>
      </c>
      <c r="G22" s="13">
        <f t="shared" si="3"/>
        <v>7.2579090909090913E-2</v>
      </c>
      <c r="H22" s="1">
        <f t="shared" si="5"/>
        <v>6.0099069264069264E-2</v>
      </c>
    </row>
    <row r="23" spans="3:8" x14ac:dyDescent="0.25">
      <c r="C23" t="s">
        <v>12</v>
      </c>
      <c r="D23" s="2">
        <f>ROUND(($D$1-$D$8)*'192,892AF Basis'!D14,0)</f>
        <v>91243</v>
      </c>
      <c r="E23" s="8">
        <f t="shared" si="2"/>
        <v>5.213885714285714E-2</v>
      </c>
      <c r="F23" s="18">
        <f t="shared" si="4"/>
        <v>258608731.4285714</v>
      </c>
      <c r="G23" s="13">
        <f t="shared" si="3"/>
        <v>8.2948181818181824E-2</v>
      </c>
      <c r="H23" s="1">
        <f t="shared" si="5"/>
        <v>6.5283614718614713E-2</v>
      </c>
    </row>
    <row r="24" spans="3:8" x14ac:dyDescent="0.25">
      <c r="C24" t="s">
        <v>13</v>
      </c>
      <c r="D24" s="2">
        <f>ROUND(($D$1-$D$8)*'192,892AF Basis'!D15,0)</f>
        <v>28513</v>
      </c>
      <c r="E24" s="8">
        <f t="shared" si="2"/>
        <v>1.6293142857142857E-2</v>
      </c>
      <c r="F24" s="18">
        <f t="shared" si="4"/>
        <v>80813988.571428567</v>
      </c>
      <c r="G24" s="13">
        <f t="shared" si="3"/>
        <v>2.5920909090909092E-2</v>
      </c>
      <c r="H24" s="1">
        <f t="shared" si="5"/>
        <v>3.6769978354978354E-2</v>
      </c>
    </row>
    <row r="25" spans="3:8" x14ac:dyDescent="0.25">
      <c r="C25" t="s">
        <v>14</v>
      </c>
      <c r="D25" s="2">
        <f>ROUND(($D$1-$D$8)*'192,892AF Basis'!D16,0)</f>
        <v>2566</v>
      </c>
      <c r="E25" s="8">
        <f t="shared" si="2"/>
        <v>1.4662857142857142E-3</v>
      </c>
      <c r="F25" s="18">
        <f t="shared" si="4"/>
        <v>7272777.1428571427</v>
      </c>
      <c r="G25" s="13">
        <f t="shared" si="3"/>
        <v>2.3327272727272728E-3</v>
      </c>
      <c r="H25" s="1">
        <f t="shared" si="5"/>
        <v>2.4975887445887444E-2</v>
      </c>
    </row>
    <row r="26" spans="3:8" x14ac:dyDescent="0.25">
      <c r="C26" t="s">
        <v>15</v>
      </c>
      <c r="D26" s="2">
        <f>ROUND(($D$1-$D$8)*'192,892AF Basis'!D17,0)</f>
        <v>11405</v>
      </c>
      <c r="E26" s="8">
        <f t="shared" si="2"/>
        <v>6.5171428571428568E-3</v>
      </c>
      <c r="F26" s="18">
        <f t="shared" si="4"/>
        <v>32325028.571428571</v>
      </c>
      <c r="G26" s="13">
        <f t="shared" si="3"/>
        <v>1.0368181818181818E-2</v>
      </c>
      <c r="H26" s="1">
        <f t="shared" si="5"/>
        <v>2.8993614718614717E-2</v>
      </c>
    </row>
    <row r="27" spans="3:8" x14ac:dyDescent="0.25">
      <c r="C27" t="s">
        <v>16</v>
      </c>
      <c r="D27" s="2">
        <f>ROUND(($D$1-$D$8)*'192,892AF Basis'!D18,0)</f>
        <v>15494</v>
      </c>
      <c r="E27" s="8">
        <f>D27/$D$1</f>
        <v>8.8537142857142859E-3</v>
      </c>
      <c r="F27" s="18">
        <f t="shared" si="4"/>
        <v>43914422.857142858</v>
      </c>
      <c r="G27" s="13">
        <f t="shared" si="3"/>
        <v>1.4085454545454545E-2</v>
      </c>
      <c r="H27" s="1">
        <f t="shared" si="5"/>
        <v>3.0852251082251082E-2</v>
      </c>
    </row>
    <row r="28" spans="3:8" x14ac:dyDescent="0.25">
      <c r="C28" t="s">
        <v>17</v>
      </c>
      <c r="D28" s="2">
        <f>ROUND(($D$1-$D$8)*'192,892AF Basis'!D19,0)</f>
        <v>5703</v>
      </c>
      <c r="E28" s="8">
        <f t="shared" si="2"/>
        <v>3.2588571428571428E-3</v>
      </c>
      <c r="F28" s="18">
        <f t="shared" si="4"/>
        <v>16163931.428571427</v>
      </c>
      <c r="G28" s="13">
        <f t="shared" si="3"/>
        <v>5.1845454545454547E-3</v>
      </c>
      <c r="H28" s="1">
        <f t="shared" si="5"/>
        <v>2.6401796536796536E-2</v>
      </c>
    </row>
    <row r="29" spans="3:8" x14ac:dyDescent="0.25">
      <c r="C29" t="s">
        <v>18</v>
      </c>
      <c r="D29" s="2">
        <f>ROUND(($D$1-$D$8)*'192,892AF Basis'!D20,0)</f>
        <v>85540</v>
      </c>
      <c r="E29" s="8">
        <f t="shared" si="2"/>
        <v>4.888E-2</v>
      </c>
      <c r="F29" s="18">
        <f t="shared" si="4"/>
        <v>242444800</v>
      </c>
      <c r="G29" s="13">
        <f t="shared" si="3"/>
        <v>7.7763636363636368E-2</v>
      </c>
      <c r="H29" s="1">
        <f t="shared" si="5"/>
        <v>6.2691341991341992E-2</v>
      </c>
    </row>
    <row r="30" spans="3:8" x14ac:dyDescent="0.25">
      <c r="C30" t="s">
        <v>19</v>
      </c>
      <c r="D30" s="2">
        <f>ROUND(($D$1-$D$8)*'192,892AF Basis'!D21,0)</f>
        <v>17393</v>
      </c>
      <c r="E30" s="8">
        <f t="shared" si="2"/>
        <v>9.9388571428571434E-3</v>
      </c>
      <c r="F30" s="18">
        <f t="shared" si="4"/>
        <v>49296731.428571433</v>
      </c>
      <c r="G30" s="13">
        <f t="shared" si="3"/>
        <v>1.581181818181818E-2</v>
      </c>
      <c r="H30" s="1">
        <f t="shared" si="5"/>
        <v>3.1715432900432897E-2</v>
      </c>
    </row>
    <row r="31" spans="3:8" x14ac:dyDescent="0.25">
      <c r="C31" t="s">
        <v>20</v>
      </c>
      <c r="D31" s="2">
        <f>ROUND(($D$1-$D$8)*'192,892AF Basis'!D22,0)</f>
        <v>57027</v>
      </c>
      <c r="E31" s="8">
        <f t="shared" si="2"/>
        <v>3.258685714285714E-2</v>
      </c>
      <c r="F31" s="18">
        <f t="shared" si="4"/>
        <v>161630811.4285714</v>
      </c>
      <c r="G31" s="13">
        <f t="shared" si="3"/>
        <v>5.1842727272727269E-2</v>
      </c>
      <c r="H31" s="1">
        <f t="shared" si="5"/>
        <v>4.9730887445887439E-2</v>
      </c>
    </row>
    <row r="32" spans="3:8" x14ac:dyDescent="0.25">
      <c r="C32" s="7" t="s">
        <v>31</v>
      </c>
      <c r="D32" s="4">
        <f>SUM(D11:D31)</f>
        <v>1100000</v>
      </c>
      <c r="E32" s="9">
        <f>SUM(E11:E31)</f>
        <v>0.62857142857142856</v>
      </c>
      <c r="F32" s="19">
        <f>SUM(F11:F31)</f>
        <v>3117714285.7142854</v>
      </c>
      <c r="G32" s="5">
        <f>SUM(G11:G31)</f>
        <v>1</v>
      </c>
      <c r="H32" s="5">
        <f>SUM(H11:H31)</f>
        <v>0.99999999999999978</v>
      </c>
    </row>
    <row r="34" spans="3:6" x14ac:dyDescent="0.25">
      <c r="C34" s="3" t="s">
        <v>41</v>
      </c>
      <c r="D34" s="4">
        <f>D1-D8-D32</f>
        <v>0</v>
      </c>
      <c r="E34" s="10">
        <f t="shared" ref="E34" si="6">D34/$D$1</f>
        <v>0</v>
      </c>
      <c r="F34" s="19">
        <f t="shared" ref="F34" si="7">$H$3*E34</f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zoomScaleNormal="100" workbookViewId="0">
      <selection activeCell="F21" sqref="F21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1700000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425000</v>
      </c>
      <c r="E5" s="11">
        <f>D5/$D$1</f>
        <v>0.25</v>
      </c>
      <c r="F5" s="18">
        <f>$H$3*E5</f>
        <v>1240000000</v>
      </c>
    </row>
    <row r="6" spans="3:8" x14ac:dyDescent="0.25">
      <c r="C6" t="s">
        <v>22</v>
      </c>
      <c r="D6" s="2">
        <v>90000</v>
      </c>
      <c r="E6" s="11">
        <f t="shared" ref="E6:E7" si="0">D6/$D$1</f>
        <v>5.2941176470588235E-2</v>
      </c>
      <c r="F6" s="18">
        <f t="shared" ref="F6:F7" si="1">$H$3*E6</f>
        <v>262588235.29411763</v>
      </c>
      <c r="G6" s="18"/>
      <c r="H6" s="17"/>
    </row>
    <row r="7" spans="3:8" x14ac:dyDescent="0.25">
      <c r="C7" t="s">
        <v>23</v>
      </c>
      <c r="D7" s="2">
        <v>120000</v>
      </c>
      <c r="E7" s="11">
        <f t="shared" si="0"/>
        <v>7.0588235294117646E-2</v>
      </c>
      <c r="F7" s="18">
        <f t="shared" si="1"/>
        <v>350117647.05882353</v>
      </c>
    </row>
    <row r="8" spans="3:8" x14ac:dyDescent="0.25">
      <c r="C8" s="7" t="s">
        <v>30</v>
      </c>
      <c r="D8" s="4">
        <f>SUM(D5:D7)</f>
        <v>635000</v>
      </c>
      <c r="E8" s="9">
        <f>SUM(E5:E7)</f>
        <v>0.37352941176470589</v>
      </c>
      <c r="F8" s="19">
        <f>SUM(F5:F7)</f>
        <v>1852705882.3529413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ROUND(($D$1-$D$8)*'192,892AF Basis'!D2,0)</f>
        <v>22085</v>
      </c>
      <c r="E11" s="8">
        <f t="shared" ref="E11:E31" si="2">D11/$D$1</f>
        <v>1.2991176470588235E-2</v>
      </c>
      <c r="F11" s="18">
        <f>$H$3*E11</f>
        <v>64436235.294117644</v>
      </c>
      <c r="G11" s="13">
        <f t="shared" ref="G11:G31" si="3">D11/$D$32</f>
        <v>2.0737108673341477E-2</v>
      </c>
      <c r="H11" s="1">
        <f>((1/21)+G11)/2</f>
        <v>3.4178078146194543E-2</v>
      </c>
    </row>
    <row r="12" spans="3:8" x14ac:dyDescent="0.25">
      <c r="C12" t="s">
        <v>1</v>
      </c>
      <c r="D12" s="2">
        <f>ROUND(($D$1-$D$8)*'192,892AF Basis'!D3,0)</f>
        <v>2761</v>
      </c>
      <c r="E12" s="8">
        <f t="shared" si="2"/>
        <v>1.6241176470588236E-3</v>
      </c>
      <c r="F12" s="18">
        <f t="shared" ref="F12:F31" si="4">$H$3*E12</f>
        <v>8055623.5294117648</v>
      </c>
      <c r="G12" s="13">
        <f t="shared" si="3"/>
        <v>2.5924906971743636E-3</v>
      </c>
      <c r="H12" s="1">
        <f t="shared" ref="H12:H31" si="5">((1/21)+G12)/2</f>
        <v>2.510576915811099E-2</v>
      </c>
    </row>
    <row r="13" spans="3:8" x14ac:dyDescent="0.25">
      <c r="C13" t="s">
        <v>2</v>
      </c>
      <c r="D13" s="2">
        <f>ROUND(($D$1-$D$8)*'192,892AF Basis'!D4,0)</f>
        <v>1656</v>
      </c>
      <c r="E13" s="8">
        <f t="shared" si="2"/>
        <v>9.7411764705882355E-4</v>
      </c>
      <c r="F13" s="18">
        <f t="shared" si="4"/>
        <v>4831623.5294117648</v>
      </c>
      <c r="G13" s="13">
        <f t="shared" si="3"/>
        <v>1.5549310374939319E-3</v>
      </c>
      <c r="H13" s="1">
        <f t="shared" si="5"/>
        <v>2.4586989328270775E-2</v>
      </c>
    </row>
    <row r="14" spans="3:8" x14ac:dyDescent="0.25">
      <c r="C14" t="s">
        <v>3</v>
      </c>
      <c r="D14" s="2">
        <f>ROUND(($D$1-$D$8)*'192,892AF Basis'!D5,0)</f>
        <v>55212</v>
      </c>
      <c r="E14" s="8">
        <f t="shared" si="2"/>
        <v>3.2477647058823528E-2</v>
      </c>
      <c r="F14" s="18">
        <f t="shared" si="4"/>
        <v>161089129.41176471</v>
      </c>
      <c r="G14" s="13">
        <f t="shared" si="3"/>
        <v>5.1842302199344791E-2</v>
      </c>
      <c r="H14" s="1">
        <f t="shared" si="5"/>
        <v>4.9730674909196207E-2</v>
      </c>
    </row>
    <row r="15" spans="3:8" x14ac:dyDescent="0.25">
      <c r="C15" t="s">
        <v>4</v>
      </c>
      <c r="D15" s="2">
        <f>ROUND(($D$1-$D$8)*'192,892AF Basis'!D6,0)</f>
        <v>55212</v>
      </c>
      <c r="E15" s="8">
        <f t="shared" si="2"/>
        <v>3.2477647058823528E-2</v>
      </c>
      <c r="F15" s="18">
        <f t="shared" si="4"/>
        <v>161089129.41176471</v>
      </c>
      <c r="G15" s="13">
        <f t="shared" si="3"/>
        <v>5.1842302199344791E-2</v>
      </c>
      <c r="H15" s="1">
        <f t="shared" si="5"/>
        <v>4.9730674909196207E-2</v>
      </c>
    </row>
    <row r="16" spans="3:8" x14ac:dyDescent="0.25">
      <c r="C16" t="s">
        <v>5</v>
      </c>
      <c r="D16" s="2">
        <f>ROUND(($D$1-$D$8)*'192,892AF Basis'!D7,0)</f>
        <v>66117</v>
      </c>
      <c r="E16" s="8">
        <f t="shared" si="2"/>
        <v>3.8892352941176468E-2</v>
      </c>
      <c r="F16" s="18">
        <f t="shared" si="4"/>
        <v>192906070.58823529</v>
      </c>
      <c r="G16" s="13">
        <f t="shared" si="3"/>
        <v>6.2081748433566605E-2</v>
      </c>
      <c r="H16" s="1">
        <f t="shared" si="5"/>
        <v>5.4850398026307111E-2</v>
      </c>
    </row>
    <row r="17" spans="3:8" x14ac:dyDescent="0.25">
      <c r="C17" t="s">
        <v>6</v>
      </c>
      <c r="D17" s="2">
        <f>ROUND(($D$1-$D$8)*'192,892AF Basis'!D8,0)</f>
        <v>35888</v>
      </c>
      <c r="E17" s="8">
        <f t="shared" si="2"/>
        <v>2.1110588235294117E-2</v>
      </c>
      <c r="F17" s="18">
        <f t="shared" si="4"/>
        <v>104708517.64705881</v>
      </c>
      <c r="G17" s="13">
        <f t="shared" si="3"/>
        <v>3.3697684223177676E-2</v>
      </c>
      <c r="H17" s="1">
        <f t="shared" si="5"/>
        <v>4.0658365921112646E-2</v>
      </c>
    </row>
    <row r="18" spans="3:8" x14ac:dyDescent="0.25">
      <c r="C18" t="s">
        <v>7</v>
      </c>
      <c r="D18" s="2">
        <f>ROUND(($D$1-$D$8)*'192,892AF Basis'!D9,0)</f>
        <v>27606</v>
      </c>
      <c r="E18" s="8">
        <f t="shared" si="2"/>
        <v>1.6238823529411764E-2</v>
      </c>
      <c r="F18" s="18">
        <f t="shared" si="4"/>
        <v>80544564.705882356</v>
      </c>
      <c r="G18" s="13">
        <f t="shared" si="3"/>
        <v>2.5921151099672395E-2</v>
      </c>
      <c r="H18" s="1">
        <f t="shared" si="5"/>
        <v>3.6770099359360008E-2</v>
      </c>
    </row>
    <row r="19" spans="3:8" x14ac:dyDescent="0.25">
      <c r="C19" t="s">
        <v>8</v>
      </c>
      <c r="D19" s="2">
        <f>ROUND(($D$1-$D$8)*'192,892AF Basis'!D10,0)</f>
        <v>276061</v>
      </c>
      <c r="E19" s="8">
        <f t="shared" si="2"/>
        <v>0.16238882352941175</v>
      </c>
      <c r="F19" s="18">
        <f t="shared" si="4"/>
        <v>805448564.70588231</v>
      </c>
      <c r="G19" s="13">
        <f t="shared" si="3"/>
        <v>0.25921244996474174</v>
      </c>
      <c r="H19" s="1">
        <f t="shared" si="5"/>
        <v>0.15341574879189468</v>
      </c>
    </row>
    <row r="20" spans="3:8" x14ac:dyDescent="0.25">
      <c r="C20" t="s">
        <v>9</v>
      </c>
      <c r="D20" s="2">
        <f>ROUND(($D$1-$D$8)*'192,892AF Basis'!D11,0)</f>
        <v>22085</v>
      </c>
      <c r="E20" s="8">
        <f t="shared" si="2"/>
        <v>1.2991176470588235E-2</v>
      </c>
      <c r="F20" s="18">
        <f t="shared" si="4"/>
        <v>64436235.294117644</v>
      </c>
      <c r="G20" s="13">
        <f t="shared" si="3"/>
        <v>2.0737108673341477E-2</v>
      </c>
      <c r="H20" s="1">
        <f t="shared" si="5"/>
        <v>3.4178078146194543E-2</v>
      </c>
    </row>
    <row r="21" spans="3:8" x14ac:dyDescent="0.25">
      <c r="C21" t="s">
        <v>10</v>
      </c>
      <c r="D21" s="2">
        <f>ROUND(($D$1-$D$8)*'192,892AF Basis'!D12,0)</f>
        <v>118154</v>
      </c>
      <c r="E21" s="8">
        <f t="shared" si="2"/>
        <v>6.9502352941176473E-2</v>
      </c>
      <c r="F21" s="18">
        <f t="shared" si="4"/>
        <v>344731670.58823532</v>
      </c>
      <c r="G21" s="13">
        <f t="shared" si="3"/>
        <v>0.11094282717636354</v>
      </c>
      <c r="H21" s="1">
        <f t="shared" si="5"/>
        <v>7.9280937397705586E-2</v>
      </c>
    </row>
    <row r="22" spans="3:8" x14ac:dyDescent="0.25">
      <c r="C22" t="s">
        <v>11</v>
      </c>
      <c r="D22" s="2">
        <f>ROUND(($D$1-$D$8)*'192,892AF Basis'!D13,0)</f>
        <v>77297</v>
      </c>
      <c r="E22" s="8">
        <f t="shared" si="2"/>
        <v>4.5468823529411763E-2</v>
      </c>
      <c r="F22" s="18">
        <f t="shared" si="4"/>
        <v>225525364.70588234</v>
      </c>
      <c r="G22" s="13">
        <f t="shared" si="3"/>
        <v>7.2579410872686267E-2</v>
      </c>
      <c r="H22" s="1">
        <f t="shared" si="5"/>
        <v>6.0099229245866942E-2</v>
      </c>
    </row>
    <row r="23" spans="3:8" x14ac:dyDescent="0.25">
      <c r="C23" t="s">
        <v>12</v>
      </c>
      <c r="D23" s="2">
        <f>ROUND(($D$1-$D$8)*'192,892AF Basis'!D14,0)</f>
        <v>88340</v>
      </c>
      <c r="E23" s="8">
        <f t="shared" si="2"/>
        <v>5.1964705882352941E-2</v>
      </c>
      <c r="F23" s="18">
        <f t="shared" si="4"/>
        <v>257744941.17647058</v>
      </c>
      <c r="G23" s="13">
        <f t="shared" si="3"/>
        <v>8.2948434693365908E-2</v>
      </c>
      <c r="H23" s="1">
        <f t="shared" si="5"/>
        <v>6.5283741156206762E-2</v>
      </c>
    </row>
    <row r="24" spans="3:8" x14ac:dyDescent="0.25">
      <c r="C24" t="s">
        <v>13</v>
      </c>
      <c r="D24" s="2">
        <f>ROUND(($D$1-$D$8)*'192,892AF Basis'!D15,0)</f>
        <v>27606</v>
      </c>
      <c r="E24" s="8">
        <f t="shared" si="2"/>
        <v>1.6238823529411764E-2</v>
      </c>
      <c r="F24" s="18">
        <f t="shared" si="4"/>
        <v>80544564.705882356</v>
      </c>
      <c r="G24" s="13">
        <f t="shared" si="3"/>
        <v>2.5921151099672395E-2</v>
      </c>
      <c r="H24" s="1">
        <f t="shared" si="5"/>
        <v>3.6770099359360008E-2</v>
      </c>
    </row>
    <row r="25" spans="3:8" x14ac:dyDescent="0.25">
      <c r="C25" t="s">
        <v>14</v>
      </c>
      <c r="D25" s="2">
        <f>ROUND(($D$1-$D$8)*'192,892AF Basis'!D16,0)</f>
        <v>2485</v>
      </c>
      <c r="E25" s="8">
        <f t="shared" si="2"/>
        <v>1.4617647058823529E-3</v>
      </c>
      <c r="F25" s="18">
        <f t="shared" si="4"/>
        <v>7250352.9411764704</v>
      </c>
      <c r="G25" s="13">
        <f t="shared" si="3"/>
        <v>2.3333355242587082E-3</v>
      </c>
      <c r="H25" s="1">
        <f t="shared" si="5"/>
        <v>2.4976191571653164E-2</v>
      </c>
    </row>
    <row r="26" spans="3:8" x14ac:dyDescent="0.25">
      <c r="C26" t="s">
        <v>15</v>
      </c>
      <c r="D26" s="2">
        <f>ROUND(($D$1-$D$8)*'192,892AF Basis'!D17,0)</f>
        <v>11042</v>
      </c>
      <c r="E26" s="8">
        <f t="shared" si="2"/>
        <v>6.4952941176470592E-3</v>
      </c>
      <c r="F26" s="18">
        <f t="shared" si="4"/>
        <v>32216658.823529415</v>
      </c>
      <c r="G26" s="13">
        <f t="shared" si="3"/>
        <v>1.0368084852661833E-2</v>
      </c>
      <c r="H26" s="1">
        <f t="shared" si="5"/>
        <v>2.8993566235854723E-2</v>
      </c>
    </row>
    <row r="27" spans="3:8" x14ac:dyDescent="0.25">
      <c r="C27" t="s">
        <v>16</v>
      </c>
      <c r="D27" s="2">
        <f>ROUND(($D$1-$D$8)*'192,892AF Basis'!D18,0)</f>
        <v>15001</v>
      </c>
      <c r="E27" s="8">
        <f>D27/$D$1</f>
        <v>8.8241176470588243E-3</v>
      </c>
      <c r="F27" s="18">
        <f t="shared" si="4"/>
        <v>43767623.52941177</v>
      </c>
      <c r="G27" s="13">
        <f t="shared" si="3"/>
        <v>1.408545923517299E-2</v>
      </c>
      <c r="H27" s="1">
        <f t="shared" si="5"/>
        <v>3.0852253427110302E-2</v>
      </c>
    </row>
    <row r="28" spans="3:8" x14ac:dyDescent="0.25">
      <c r="C28" t="s">
        <v>17</v>
      </c>
      <c r="D28" s="2">
        <f>ROUND(($D$1-$D$8)*'192,892AF Basis'!D19,0)</f>
        <v>5521</v>
      </c>
      <c r="E28" s="8">
        <f t="shared" si="2"/>
        <v>3.2476470588235296E-3</v>
      </c>
      <c r="F28" s="18">
        <f t="shared" si="4"/>
        <v>16108329.411764707</v>
      </c>
      <c r="G28" s="13">
        <f t="shared" si="3"/>
        <v>5.1840424263309166E-3</v>
      </c>
      <c r="H28" s="1">
        <f t="shared" si="5"/>
        <v>2.6401545022689266E-2</v>
      </c>
    </row>
    <row r="29" spans="3:8" x14ac:dyDescent="0.25">
      <c r="C29" t="s">
        <v>18</v>
      </c>
      <c r="D29" s="2">
        <f>ROUND(($D$1-$D$8)*'192,892AF Basis'!D20,0)</f>
        <v>82818</v>
      </c>
      <c r="E29" s="8">
        <f t="shared" si="2"/>
        <v>4.8716470588235292E-2</v>
      </c>
      <c r="F29" s="18">
        <f t="shared" si="4"/>
        <v>241633694.11764705</v>
      </c>
      <c r="G29" s="13">
        <f t="shared" si="3"/>
        <v>7.7763453299017182E-2</v>
      </c>
      <c r="H29" s="1">
        <f t="shared" si="5"/>
        <v>6.2691250459032399E-2</v>
      </c>
    </row>
    <row r="30" spans="3:8" x14ac:dyDescent="0.25">
      <c r="C30" t="s">
        <v>19</v>
      </c>
      <c r="D30" s="2">
        <f>ROUND(($D$1-$D$8)*'192,892AF Basis'!D21,0)</f>
        <v>16840</v>
      </c>
      <c r="E30" s="8">
        <f t="shared" si="2"/>
        <v>9.9058823529411758E-3</v>
      </c>
      <c r="F30" s="18">
        <f t="shared" si="4"/>
        <v>49133176.47058823</v>
      </c>
      <c r="G30" s="13">
        <f t="shared" si="3"/>
        <v>1.5812221419926217E-2</v>
      </c>
      <c r="H30" s="1">
        <f t="shared" si="5"/>
        <v>3.1715634519486918E-2</v>
      </c>
    </row>
    <row r="31" spans="3:8" x14ac:dyDescent="0.25">
      <c r="C31" t="s">
        <v>20</v>
      </c>
      <c r="D31" s="2">
        <f>ROUND(($D$1-$D$8)*'192,892AF Basis'!D22,0)</f>
        <v>55212</v>
      </c>
      <c r="E31" s="8">
        <f t="shared" si="2"/>
        <v>3.2477647058823528E-2</v>
      </c>
      <c r="F31" s="18">
        <f t="shared" si="4"/>
        <v>161089129.41176471</v>
      </c>
      <c r="G31" s="13">
        <f t="shared" si="3"/>
        <v>5.1842302199344791E-2</v>
      </c>
      <c r="H31" s="1">
        <f t="shared" si="5"/>
        <v>4.9730674909196207E-2</v>
      </c>
    </row>
    <row r="32" spans="3:8" x14ac:dyDescent="0.25">
      <c r="C32" s="7" t="s">
        <v>31</v>
      </c>
      <c r="D32" s="4">
        <f>SUM(D11:D31)</f>
        <v>1064999</v>
      </c>
      <c r="E32" s="9">
        <f>SUM(E11:E31)</f>
        <v>0.62646999999999986</v>
      </c>
      <c r="F32" s="19">
        <f>SUM(F11:F31)</f>
        <v>3107291200</v>
      </c>
      <c r="G32" s="5">
        <f>SUM(G11:G31)</f>
        <v>1</v>
      </c>
      <c r="H32" s="5">
        <f>SUM(H11:H31)</f>
        <v>1</v>
      </c>
    </row>
    <row r="34" spans="3:6" x14ac:dyDescent="0.25">
      <c r="C34" s="3" t="s">
        <v>41</v>
      </c>
      <c r="D34" s="4">
        <f>D1-D8-D32</f>
        <v>1</v>
      </c>
      <c r="E34" s="10">
        <f t="shared" ref="E34" si="6">D34/$D$1</f>
        <v>5.8823529411764701E-7</v>
      </c>
      <c r="F34" s="19">
        <f t="shared" ref="F34" si="7">$H$3*E34</f>
        <v>2917.6470588235293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topLeftCell="A19" zoomScaleNormal="100" workbookViewId="0">
      <selection activeCell="D24" sqref="D24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1690000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425000</v>
      </c>
      <c r="E5" s="11">
        <f>D5/$D$1</f>
        <v>0.25147928994082841</v>
      </c>
      <c r="F5" s="18">
        <f>$H$3*E5</f>
        <v>1247337278.106509</v>
      </c>
    </row>
    <row r="6" spans="3:8" x14ac:dyDescent="0.25">
      <c r="C6" t="s">
        <v>22</v>
      </c>
      <c r="D6" s="2">
        <v>90000</v>
      </c>
      <c r="E6" s="11">
        <f t="shared" ref="E6:E7" si="0">D6/$D$1</f>
        <v>5.3254437869822487E-2</v>
      </c>
      <c r="F6" s="18">
        <f t="shared" ref="F6:F7" si="1">$H$3*E6</f>
        <v>264142011.83431953</v>
      </c>
      <c r="G6" s="18"/>
      <c r="H6" s="17"/>
    </row>
    <row r="7" spans="3:8" x14ac:dyDescent="0.25">
      <c r="C7" t="s">
        <v>23</v>
      </c>
      <c r="D7" s="2">
        <v>120000</v>
      </c>
      <c r="E7" s="11">
        <f t="shared" si="0"/>
        <v>7.1005917159763315E-2</v>
      </c>
      <c r="F7" s="18">
        <f t="shared" si="1"/>
        <v>352189349.11242604</v>
      </c>
    </row>
    <row r="8" spans="3:8" x14ac:dyDescent="0.25">
      <c r="C8" s="7" t="s">
        <v>30</v>
      </c>
      <c r="D8" s="4">
        <f>SUM(D5:D7)</f>
        <v>635000</v>
      </c>
      <c r="E8" s="9">
        <f>SUM(E5:E7)</f>
        <v>0.37573964497041423</v>
      </c>
      <c r="F8" s="19">
        <f>SUM(F5:F7)</f>
        <v>1863668639.0532546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ROUND(($D$1-$D$8)*'192,892AF Basis'!D2,0)</f>
        <v>21878</v>
      </c>
      <c r="E11" s="8">
        <f t="shared" ref="E11:E31" si="2">D11/$D$1</f>
        <v>1.2945562130177515E-2</v>
      </c>
      <c r="F11" s="18">
        <f>$H$3*E11</f>
        <v>64209988.165680476</v>
      </c>
      <c r="G11" s="13">
        <f t="shared" ref="G11:G31" si="3">D11/$D$32</f>
        <v>2.0737401445684464E-2</v>
      </c>
      <c r="H11" s="1">
        <f>((1/21)+G11)/2</f>
        <v>3.417822453236604E-2</v>
      </c>
    </row>
    <row r="12" spans="3:8" x14ac:dyDescent="0.25">
      <c r="C12" t="s">
        <v>1</v>
      </c>
      <c r="D12" s="2">
        <f>ROUND(($D$1-$D$8)*'192,892AF Basis'!D3,0)</f>
        <v>2735</v>
      </c>
      <c r="E12" s="8">
        <f t="shared" si="2"/>
        <v>1.6183431952662723E-3</v>
      </c>
      <c r="F12" s="18">
        <f t="shared" ref="F12:F31" si="4">$H$3*E12</f>
        <v>8026982.2485207105</v>
      </c>
      <c r="G12" s="13">
        <f t="shared" si="3"/>
        <v>2.5924121470859772E-3</v>
      </c>
      <c r="H12" s="1">
        <f t="shared" ref="H12:H31" si="5">((1/21)+G12)/2</f>
        <v>2.5105729883066797E-2</v>
      </c>
    </row>
    <row r="13" spans="3:8" x14ac:dyDescent="0.25">
      <c r="C13" t="s">
        <v>2</v>
      </c>
      <c r="D13" s="2">
        <f>ROUND(($D$1-$D$8)*'192,892AF Basis'!D4,0)</f>
        <v>1641</v>
      </c>
      <c r="E13" s="8">
        <f t="shared" si="2"/>
        <v>9.7100591715976333E-4</v>
      </c>
      <c r="F13" s="18">
        <f t="shared" si="4"/>
        <v>4816189.3491124259</v>
      </c>
      <c r="G13" s="13">
        <f t="shared" si="3"/>
        <v>1.5554472882515862E-3</v>
      </c>
      <c r="H13" s="1">
        <f t="shared" si="5"/>
        <v>2.45872474536496E-2</v>
      </c>
    </row>
    <row r="14" spans="3:8" x14ac:dyDescent="0.25">
      <c r="C14" t="s">
        <v>3</v>
      </c>
      <c r="D14" s="2">
        <f>ROUND(($D$1-$D$8)*'192,892AF Basis'!D5,0)</f>
        <v>54694</v>
      </c>
      <c r="E14" s="8">
        <f t="shared" si="2"/>
        <v>3.2363313609467453E-2</v>
      </c>
      <c r="F14" s="18">
        <f t="shared" si="4"/>
        <v>160522035.50295857</v>
      </c>
      <c r="G14" s="13">
        <f t="shared" si="3"/>
        <v>5.1842555748709482E-2</v>
      </c>
      <c r="H14" s="1">
        <f t="shared" si="5"/>
        <v>4.9730801683878549E-2</v>
      </c>
    </row>
    <row r="15" spans="3:8" x14ac:dyDescent="0.25">
      <c r="C15" t="s">
        <v>4</v>
      </c>
      <c r="D15" s="2">
        <f>ROUND(($D$1-$D$8)*'192,892AF Basis'!D6,0)</f>
        <v>54694</v>
      </c>
      <c r="E15" s="8">
        <f t="shared" si="2"/>
        <v>3.2363313609467453E-2</v>
      </c>
      <c r="F15" s="18">
        <f t="shared" si="4"/>
        <v>160522035.50295857</v>
      </c>
      <c r="G15" s="13">
        <f t="shared" si="3"/>
        <v>5.1842555748709482E-2</v>
      </c>
      <c r="H15" s="1">
        <f t="shared" si="5"/>
        <v>4.9730801683878549E-2</v>
      </c>
    </row>
    <row r="16" spans="3:8" x14ac:dyDescent="0.25">
      <c r="C16" t="s">
        <v>5</v>
      </c>
      <c r="D16" s="2">
        <f>ROUND(($D$1-$D$8)*'192,892AF Basis'!D7,0)</f>
        <v>65496</v>
      </c>
      <c r="E16" s="8">
        <f t="shared" si="2"/>
        <v>3.8755029585798816E-2</v>
      </c>
      <c r="F16" s="18">
        <f t="shared" si="4"/>
        <v>192224946.74556214</v>
      </c>
      <c r="G16" s="13">
        <f t="shared" si="3"/>
        <v>6.2081398897821993E-2</v>
      </c>
      <c r="H16" s="1">
        <f t="shared" si="5"/>
        <v>5.4850223258434805E-2</v>
      </c>
    </row>
    <row r="17" spans="3:8" x14ac:dyDescent="0.25">
      <c r="C17" t="s">
        <v>6</v>
      </c>
      <c r="D17" s="2">
        <f>ROUND(($D$1-$D$8)*'192,892AF Basis'!D8,0)</f>
        <v>35551</v>
      </c>
      <c r="E17" s="8">
        <f t="shared" si="2"/>
        <v>2.1036094674556215E-2</v>
      </c>
      <c r="F17" s="18">
        <f t="shared" si="4"/>
        <v>104339029.58579883</v>
      </c>
      <c r="G17" s="13">
        <f t="shared" si="3"/>
        <v>3.3697566450110995E-2</v>
      </c>
      <c r="H17" s="1">
        <f t="shared" si="5"/>
        <v>4.0658307034579302E-2</v>
      </c>
    </row>
    <row r="18" spans="3:8" x14ac:dyDescent="0.25">
      <c r="C18" t="s">
        <v>7</v>
      </c>
      <c r="D18" s="2">
        <f>ROUND(($D$1-$D$8)*'192,892AF Basis'!D9,0)</f>
        <v>27347</v>
      </c>
      <c r="E18" s="8">
        <f t="shared" si="2"/>
        <v>1.6181656804733727E-2</v>
      </c>
      <c r="F18" s="18">
        <f t="shared" si="4"/>
        <v>80261017.751479283</v>
      </c>
      <c r="G18" s="13">
        <f t="shared" si="3"/>
        <v>2.5921277874354741E-2</v>
      </c>
      <c r="H18" s="1">
        <f t="shared" si="5"/>
        <v>3.6770162746701182E-2</v>
      </c>
    </row>
    <row r="19" spans="3:8" x14ac:dyDescent="0.25">
      <c r="C19" t="s">
        <v>8</v>
      </c>
      <c r="D19" s="2">
        <f>ROUND(($D$1-$D$8)*'192,892AF Basis'!D10,0)</f>
        <v>273469</v>
      </c>
      <c r="E19" s="8">
        <f t="shared" si="2"/>
        <v>0.16181597633136094</v>
      </c>
      <c r="F19" s="18">
        <f t="shared" si="4"/>
        <v>802607242.60355031</v>
      </c>
      <c r="G19" s="13">
        <f t="shared" si="3"/>
        <v>0.25921183087804572</v>
      </c>
      <c r="H19" s="1">
        <f t="shared" si="5"/>
        <v>0.15341543924854667</v>
      </c>
    </row>
    <row r="20" spans="3:8" x14ac:dyDescent="0.25">
      <c r="C20" t="s">
        <v>9</v>
      </c>
      <c r="D20" s="2">
        <f>ROUND(($D$1-$D$8)*'192,892AF Basis'!D11,0)</f>
        <v>21878</v>
      </c>
      <c r="E20" s="8">
        <f t="shared" si="2"/>
        <v>1.2945562130177515E-2</v>
      </c>
      <c r="F20" s="18">
        <f t="shared" si="4"/>
        <v>64209988.165680476</v>
      </c>
      <c r="G20" s="13">
        <f t="shared" si="3"/>
        <v>2.0737401445684464E-2</v>
      </c>
      <c r="H20" s="1">
        <f t="shared" si="5"/>
        <v>3.417822453236604E-2</v>
      </c>
    </row>
    <row r="21" spans="3:8" x14ac:dyDescent="0.25">
      <c r="C21" t="s">
        <v>10</v>
      </c>
      <c r="D21" s="2">
        <f>ROUND(($D$1-$D$8)*'192,892AF Basis'!D12,0)</f>
        <v>117045</v>
      </c>
      <c r="E21" s="8">
        <f t="shared" si="2"/>
        <v>6.9257396449704148E-2</v>
      </c>
      <c r="F21" s="18">
        <f t="shared" si="4"/>
        <v>343516686.39053255</v>
      </c>
      <c r="G21" s="13">
        <f t="shared" si="3"/>
        <v>0.11094291764375802</v>
      </c>
      <c r="H21" s="1">
        <f t="shared" si="5"/>
        <v>7.9280982631402819E-2</v>
      </c>
    </row>
    <row r="22" spans="3:8" x14ac:dyDescent="0.25">
      <c r="C22" t="s">
        <v>11</v>
      </c>
      <c r="D22" s="2">
        <f>ROUND(($D$1-$D$8)*'192,892AF Basis'!D13,0)</f>
        <v>76571</v>
      </c>
      <c r="E22" s="8">
        <f t="shared" si="2"/>
        <v>4.5308284023668641E-2</v>
      </c>
      <c r="F22" s="18">
        <f t="shared" si="4"/>
        <v>224729088.75739646</v>
      </c>
      <c r="G22" s="13">
        <f t="shared" si="3"/>
        <v>7.2579009328892274E-2</v>
      </c>
      <c r="H22" s="1">
        <f t="shared" si="5"/>
        <v>6.0099028473969945E-2</v>
      </c>
    </row>
    <row r="23" spans="3:8" x14ac:dyDescent="0.25">
      <c r="C23" t="s">
        <v>12</v>
      </c>
      <c r="D23" s="2">
        <f>ROUND(($D$1-$D$8)*'192,892AF Basis'!D14,0)</f>
        <v>87510</v>
      </c>
      <c r="E23" s="8">
        <f t="shared" si="2"/>
        <v>5.1781065088757398E-2</v>
      </c>
      <c r="F23" s="18">
        <f t="shared" si="4"/>
        <v>256834082.84023669</v>
      </c>
      <c r="G23" s="13">
        <f t="shared" si="3"/>
        <v>8.29477100517345E-2</v>
      </c>
      <c r="H23" s="1">
        <f t="shared" si="5"/>
        <v>6.5283378835391065E-2</v>
      </c>
    </row>
    <row r="24" spans="3:8" x14ac:dyDescent="0.25">
      <c r="C24" t="s">
        <v>13</v>
      </c>
      <c r="D24" s="2">
        <f>ROUND(($D$1-$D$8)*'192,892AF Basis'!D15,0)</f>
        <v>27347</v>
      </c>
      <c r="E24" s="8">
        <f t="shared" si="2"/>
        <v>1.6181656804733727E-2</v>
      </c>
      <c r="F24" s="18">
        <f t="shared" si="4"/>
        <v>80261017.751479283</v>
      </c>
      <c r="G24" s="13">
        <f t="shared" si="3"/>
        <v>2.5921277874354741E-2</v>
      </c>
      <c r="H24" s="1">
        <f t="shared" si="5"/>
        <v>3.6770162746701182E-2</v>
      </c>
    </row>
    <row r="25" spans="3:8" x14ac:dyDescent="0.25">
      <c r="C25" t="s">
        <v>14</v>
      </c>
      <c r="D25" s="2">
        <f>ROUND(($D$1-$D$8)*'192,892AF Basis'!D16,0)</f>
        <v>2461</v>
      </c>
      <c r="E25" s="8">
        <f t="shared" si="2"/>
        <v>1.4562130177514794E-3</v>
      </c>
      <c r="F25" s="18">
        <f t="shared" si="4"/>
        <v>7222816.5680473372</v>
      </c>
      <c r="G25" s="13">
        <f t="shared" si="3"/>
        <v>2.3326969996265408E-3</v>
      </c>
      <c r="H25" s="1">
        <f t="shared" si="5"/>
        <v>2.497587230933708E-2</v>
      </c>
    </row>
    <row r="26" spans="3:8" x14ac:dyDescent="0.25">
      <c r="C26" t="s">
        <v>15</v>
      </c>
      <c r="D26" s="2">
        <f>ROUND(($D$1-$D$8)*'192,892AF Basis'!D17,0)</f>
        <v>10939</v>
      </c>
      <c r="E26" s="8">
        <f t="shared" si="2"/>
        <v>6.4727810650887577E-3</v>
      </c>
      <c r="F26" s="18">
        <f t="shared" si="4"/>
        <v>32104994.082840238</v>
      </c>
      <c r="G26" s="13">
        <f t="shared" si="3"/>
        <v>1.0368700722842232E-2</v>
      </c>
      <c r="H26" s="1">
        <f t="shared" si="5"/>
        <v>2.8993874170944924E-2</v>
      </c>
    </row>
    <row r="27" spans="3:8" x14ac:dyDescent="0.25">
      <c r="C27" t="s">
        <v>16</v>
      </c>
      <c r="D27" s="2">
        <f>ROUND(($D$1-$D$8)*'192,892AF Basis'!D18,0)</f>
        <v>14860</v>
      </c>
      <c r="E27" s="8">
        <f>D27/$D$1</f>
        <v>8.7928994082840245E-3</v>
      </c>
      <c r="F27" s="18">
        <f t="shared" si="4"/>
        <v>43612781.065088764</v>
      </c>
      <c r="G27" s="13">
        <f t="shared" si="3"/>
        <v>1.4085281354916863E-2</v>
      </c>
      <c r="H27" s="1">
        <f t="shared" si="5"/>
        <v>3.0852164486982241E-2</v>
      </c>
    </row>
    <row r="28" spans="3:8" x14ac:dyDescent="0.25">
      <c r="C28" t="s">
        <v>17</v>
      </c>
      <c r="D28" s="2">
        <f>ROUND(($D$1-$D$8)*'192,892AF Basis'!D19,0)</f>
        <v>5469</v>
      </c>
      <c r="E28" s="8">
        <f t="shared" si="2"/>
        <v>3.2360946745562131E-3</v>
      </c>
      <c r="F28" s="18">
        <f t="shared" si="4"/>
        <v>16051029.585798817</v>
      </c>
      <c r="G28" s="13">
        <f t="shared" si="3"/>
        <v>5.1838764286702777E-3</v>
      </c>
      <c r="H28" s="1">
        <f t="shared" si="5"/>
        <v>2.6401462023858947E-2</v>
      </c>
    </row>
    <row r="29" spans="3:8" x14ac:dyDescent="0.25">
      <c r="C29" t="s">
        <v>18</v>
      </c>
      <c r="D29" s="2">
        <f>ROUND(($D$1-$D$8)*'192,892AF Basis'!D20,0)</f>
        <v>82041</v>
      </c>
      <c r="E29" s="8">
        <f t="shared" si="2"/>
        <v>4.854497041420118E-2</v>
      </c>
      <c r="F29" s="18">
        <f t="shared" si="4"/>
        <v>240783053.25443786</v>
      </c>
      <c r="G29" s="13">
        <f t="shared" si="3"/>
        <v>7.7763833623064216E-2</v>
      </c>
      <c r="H29" s="1">
        <f t="shared" si="5"/>
        <v>6.2691440621055916E-2</v>
      </c>
    </row>
    <row r="30" spans="3:8" x14ac:dyDescent="0.25">
      <c r="C30" t="s">
        <v>19</v>
      </c>
      <c r="D30" s="2">
        <f>ROUND(($D$1-$D$8)*'192,892AF Basis'!D21,0)</f>
        <v>16682</v>
      </c>
      <c r="E30" s="8">
        <f t="shared" si="2"/>
        <v>9.8710059171597635E-3</v>
      </c>
      <c r="F30" s="18">
        <f t="shared" si="4"/>
        <v>48960189.349112429</v>
      </c>
      <c r="G30" s="13">
        <f t="shared" si="3"/>
        <v>1.5812292298971947E-2</v>
      </c>
      <c r="H30" s="1">
        <f t="shared" si="5"/>
        <v>3.1715669959009783E-2</v>
      </c>
    </row>
    <row r="31" spans="3:8" x14ac:dyDescent="0.25">
      <c r="C31" t="s">
        <v>20</v>
      </c>
      <c r="D31" s="2">
        <f>ROUND(($D$1-$D$8)*'192,892AF Basis'!D22,0)</f>
        <v>54694</v>
      </c>
      <c r="E31" s="8">
        <f t="shared" si="2"/>
        <v>3.2363313609467453E-2</v>
      </c>
      <c r="F31" s="18">
        <f t="shared" si="4"/>
        <v>160522035.50295857</v>
      </c>
      <c r="G31" s="13">
        <f t="shared" si="3"/>
        <v>5.1842555748709482E-2</v>
      </c>
      <c r="H31" s="1">
        <f t="shared" si="5"/>
        <v>4.9730801683878549E-2</v>
      </c>
    </row>
    <row r="32" spans="3:8" x14ac:dyDescent="0.25">
      <c r="C32" s="7" t="s">
        <v>31</v>
      </c>
      <c r="D32" s="4">
        <f>SUM(D11:D31)</f>
        <v>1055002</v>
      </c>
      <c r="E32" s="9">
        <f>SUM(E11:E31)</f>
        <v>0.62426153846153831</v>
      </c>
      <c r="F32" s="19">
        <f>SUM(F11:F31)</f>
        <v>3096337230.7692313</v>
      </c>
      <c r="G32" s="5">
        <f>SUM(G11:G31)</f>
        <v>0.99999999999999989</v>
      </c>
      <c r="H32" s="5">
        <f>SUM(H11:H31)</f>
        <v>1</v>
      </c>
    </row>
    <row r="34" spans="3:6" x14ac:dyDescent="0.25">
      <c r="C34" s="3" t="s">
        <v>41</v>
      </c>
      <c r="D34" s="4">
        <f>D1-D8-D32</f>
        <v>-2</v>
      </c>
      <c r="E34" s="10">
        <f t="shared" ref="E34" si="6">D34/$D$1</f>
        <v>-1.1834319526627218E-6</v>
      </c>
      <c r="F34" s="19">
        <f t="shared" ref="F34" si="7">$H$3*E34</f>
        <v>-5869.8224852070998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E23"/>
  <sheetViews>
    <sheetView workbookViewId="0">
      <selection activeCell="B31" sqref="B31"/>
    </sheetView>
  </sheetViews>
  <sheetFormatPr defaultRowHeight="15" x14ac:dyDescent="0.25"/>
  <cols>
    <col min="2" max="2" width="43.85546875" customWidth="1"/>
    <col min="3" max="3" width="23.85546875" customWidth="1"/>
    <col min="4" max="4" width="15" customWidth="1"/>
    <col min="5" max="5" width="18.28515625" customWidth="1"/>
  </cols>
  <sheetData>
    <row r="1" spans="2:5" x14ac:dyDescent="0.25">
      <c r="B1" t="s">
        <v>32</v>
      </c>
      <c r="C1" t="s">
        <v>33</v>
      </c>
      <c r="D1" t="s">
        <v>34</v>
      </c>
    </row>
    <row r="2" spans="2:5" x14ac:dyDescent="0.25">
      <c r="B2" t="s">
        <v>0</v>
      </c>
      <c r="C2" s="2">
        <v>4000</v>
      </c>
      <c r="D2" s="12">
        <f>C2/$C$23</f>
        <v>2.0736992721315555E-2</v>
      </c>
    </row>
    <row r="3" spans="2:5" x14ac:dyDescent="0.25">
      <c r="B3" t="s">
        <v>1</v>
      </c>
      <c r="C3" s="2">
        <v>500</v>
      </c>
      <c r="D3" s="12">
        <f t="shared" ref="D3:D22" si="0">C3/$C$23</f>
        <v>2.5921240901644444E-3</v>
      </c>
    </row>
    <row r="4" spans="2:5" x14ac:dyDescent="0.25">
      <c r="B4" t="s">
        <v>2</v>
      </c>
      <c r="C4" s="2">
        <v>300</v>
      </c>
      <c r="D4" s="12">
        <f t="shared" si="0"/>
        <v>1.5552744540986666E-3</v>
      </c>
    </row>
    <row r="5" spans="2:5" x14ac:dyDescent="0.25">
      <c r="B5" t="s">
        <v>3</v>
      </c>
      <c r="C5" s="2">
        <v>10000</v>
      </c>
      <c r="D5" s="12">
        <f t="shared" si="0"/>
        <v>5.184248180328889E-2</v>
      </c>
    </row>
    <row r="6" spans="2:5" x14ac:dyDescent="0.25">
      <c r="B6" t="s">
        <v>4</v>
      </c>
      <c r="C6" s="2">
        <v>10000</v>
      </c>
      <c r="D6" s="12">
        <f t="shared" si="0"/>
        <v>5.184248180328889E-2</v>
      </c>
    </row>
    <row r="7" spans="2:5" x14ac:dyDescent="0.25">
      <c r="B7" t="s">
        <v>5</v>
      </c>
      <c r="C7" s="2">
        <v>11975</v>
      </c>
      <c r="D7" s="12">
        <f t="shared" si="0"/>
        <v>6.2081371959438442E-2</v>
      </c>
    </row>
    <row r="8" spans="2:5" x14ac:dyDescent="0.25">
      <c r="B8" t="s">
        <v>6</v>
      </c>
      <c r="C8" s="2">
        <v>6500</v>
      </c>
      <c r="D8" s="12">
        <f t="shared" si="0"/>
        <v>3.3697613172137778E-2</v>
      </c>
      <c r="E8" s="14"/>
    </row>
    <row r="9" spans="2:5" x14ac:dyDescent="0.25">
      <c r="B9" t="s">
        <v>7</v>
      </c>
      <c r="C9" s="2">
        <v>5000</v>
      </c>
      <c r="D9" s="12">
        <f t="shared" si="0"/>
        <v>2.5921240901644445E-2</v>
      </c>
    </row>
    <row r="10" spans="2:5" x14ac:dyDescent="0.25">
      <c r="B10" t="s">
        <v>8</v>
      </c>
      <c r="C10" s="2">
        <v>50000</v>
      </c>
      <c r="D10" s="12">
        <f t="shared" si="0"/>
        <v>0.25921240901644443</v>
      </c>
    </row>
    <row r="11" spans="2:5" x14ac:dyDescent="0.25">
      <c r="B11" t="s">
        <v>9</v>
      </c>
      <c r="C11" s="2">
        <v>4000</v>
      </c>
      <c r="D11" s="12">
        <f t="shared" si="0"/>
        <v>2.0736992721315555E-2</v>
      </c>
    </row>
    <row r="12" spans="2:5" x14ac:dyDescent="0.25">
      <c r="B12" t="s">
        <v>10</v>
      </c>
      <c r="C12" s="2">
        <v>21400</v>
      </c>
      <c r="D12" s="12">
        <f t="shared" si="0"/>
        <v>0.11094291105903822</v>
      </c>
    </row>
    <row r="13" spans="2:5" x14ac:dyDescent="0.25">
      <c r="B13" t="s">
        <v>11</v>
      </c>
      <c r="C13" s="2">
        <v>14000</v>
      </c>
      <c r="D13" s="12">
        <f t="shared" si="0"/>
        <v>7.2579474524604448E-2</v>
      </c>
    </row>
    <row r="14" spans="2:5" x14ac:dyDescent="0.25">
      <c r="B14" t="s">
        <v>12</v>
      </c>
      <c r="C14" s="2">
        <v>16000</v>
      </c>
      <c r="D14" s="12">
        <f t="shared" si="0"/>
        <v>8.2947970885262221E-2</v>
      </c>
    </row>
    <row r="15" spans="2:5" x14ac:dyDescent="0.25">
      <c r="B15" t="s">
        <v>13</v>
      </c>
      <c r="C15" s="2">
        <v>5000</v>
      </c>
      <c r="D15" s="12">
        <f t="shared" si="0"/>
        <v>2.5921240901644445E-2</v>
      </c>
    </row>
    <row r="16" spans="2:5" x14ac:dyDescent="0.25">
      <c r="B16" t="s">
        <v>14</v>
      </c>
      <c r="C16" s="2">
        <v>450</v>
      </c>
      <c r="D16" s="12">
        <f t="shared" si="0"/>
        <v>2.332911681148E-3</v>
      </c>
    </row>
    <row r="17" spans="2:4" x14ac:dyDescent="0.25">
      <c r="B17" t="s">
        <v>15</v>
      </c>
      <c r="C17" s="2">
        <v>2000</v>
      </c>
      <c r="D17" s="12">
        <f t="shared" si="0"/>
        <v>1.0368496360657778E-2</v>
      </c>
    </row>
    <row r="18" spans="2:4" x14ac:dyDescent="0.25">
      <c r="B18" t="s">
        <v>16</v>
      </c>
      <c r="C18" s="2">
        <v>2717</v>
      </c>
      <c r="D18" s="12">
        <f t="shared" si="0"/>
        <v>1.4085602305953591E-2</v>
      </c>
    </row>
    <row r="19" spans="2:4" x14ac:dyDescent="0.25">
      <c r="B19" t="s">
        <v>17</v>
      </c>
      <c r="C19" s="2">
        <v>1000</v>
      </c>
      <c r="D19" s="12">
        <f t="shared" si="0"/>
        <v>5.1842481803288888E-3</v>
      </c>
    </row>
    <row r="20" spans="2:4" x14ac:dyDescent="0.25">
      <c r="B20" t="s">
        <v>18</v>
      </c>
      <c r="C20" s="2">
        <v>15000</v>
      </c>
      <c r="D20" s="12">
        <f t="shared" si="0"/>
        <v>7.7763722704933327E-2</v>
      </c>
    </row>
    <row r="21" spans="2:4" x14ac:dyDescent="0.25">
      <c r="B21" t="s">
        <v>19</v>
      </c>
      <c r="C21" s="2">
        <v>3050</v>
      </c>
      <c r="D21" s="12">
        <f t="shared" si="0"/>
        <v>1.5811956950003109E-2</v>
      </c>
    </row>
    <row r="22" spans="2:4" x14ac:dyDescent="0.25">
      <c r="B22" t="s">
        <v>20</v>
      </c>
      <c r="C22" s="2">
        <v>10000</v>
      </c>
      <c r="D22" s="12">
        <f t="shared" si="0"/>
        <v>5.184248180328889E-2</v>
      </c>
    </row>
    <row r="23" spans="2:4" x14ac:dyDescent="0.25">
      <c r="B23" t="s">
        <v>36</v>
      </c>
      <c r="C23" s="2">
        <f>SUM(C2:C22)</f>
        <v>192892</v>
      </c>
      <c r="D23" s="12">
        <f>SUM(D2:D22)</f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zoomScaleNormal="100" workbookViewId="0">
      <selection activeCell="D30" sqref="D30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1750000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440000</v>
      </c>
      <c r="E5" s="11">
        <f>D5/$D$1</f>
        <v>0.25142857142857145</v>
      </c>
      <c r="F5" s="18">
        <f>$H$3*E5</f>
        <v>1247085714.2857144</v>
      </c>
    </row>
    <row r="6" spans="3:8" x14ac:dyDescent="0.25">
      <c r="C6" t="s">
        <v>22</v>
      </c>
      <c r="D6" s="2">
        <v>90000</v>
      </c>
      <c r="E6" s="11">
        <f t="shared" ref="E6:E7" si="0">D6/$D$1</f>
        <v>5.1428571428571428E-2</v>
      </c>
      <c r="F6" s="18">
        <f t="shared" ref="F6:F7" si="1">$H$3*E6</f>
        <v>255085714.28571427</v>
      </c>
      <c r="G6" s="18"/>
      <c r="H6" s="17"/>
    </row>
    <row r="7" spans="3:8" x14ac:dyDescent="0.25">
      <c r="C7" t="s">
        <v>23</v>
      </c>
      <c r="D7" s="2">
        <v>120000</v>
      </c>
      <c r="E7" s="11">
        <f t="shared" si="0"/>
        <v>6.8571428571428575E-2</v>
      </c>
      <c r="F7" s="18">
        <f t="shared" si="1"/>
        <v>340114285.71428573</v>
      </c>
    </row>
    <row r="8" spans="3:8" x14ac:dyDescent="0.25">
      <c r="C8" s="7" t="s">
        <v>30</v>
      </c>
      <c r="D8" s="4">
        <f>SUM(D5:D7)</f>
        <v>650000</v>
      </c>
      <c r="E8" s="9">
        <f>SUM(E5:E7)</f>
        <v>0.37142857142857144</v>
      </c>
      <c r="F8" s="19">
        <f>SUM(F5:F7)</f>
        <v>1842285714.2857146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ROUND(($D$1-$D$8)*'250TAF Basis'!D2,0)</f>
        <v>17600</v>
      </c>
      <c r="E11" s="8">
        <f t="shared" ref="E11:E31" si="2">D11/$D$1</f>
        <v>1.0057142857142857E-2</v>
      </c>
      <c r="F11" s="18">
        <f>$H$3*E11</f>
        <v>49883428.571428567</v>
      </c>
      <c r="G11" s="13">
        <f t="shared" ref="G11:G31" si="3">D11/$D$32</f>
        <v>2.0736987834693216E-2</v>
      </c>
      <c r="H11" s="1">
        <f>((1/21)+G11)/2</f>
        <v>3.4178017726870416E-2</v>
      </c>
    </row>
    <row r="12" spans="3:8" x14ac:dyDescent="0.25">
      <c r="C12" t="s">
        <v>1</v>
      </c>
      <c r="D12" s="2">
        <f>ROUND(($D$1-$D$8)*'250TAF Basis'!D3,0)</f>
        <v>2200</v>
      </c>
      <c r="E12" s="8">
        <f t="shared" si="2"/>
        <v>1.2571428571428571E-3</v>
      </c>
      <c r="F12" s="18">
        <f t="shared" ref="F12:F31" si="4">$H$3*E12</f>
        <v>6235428.5714285709</v>
      </c>
      <c r="G12" s="13">
        <f t="shared" si="3"/>
        <v>2.592123479336652E-3</v>
      </c>
      <c r="H12" s="1">
        <f t="shared" ref="H12:H31" si="5">((1/21)+G12)/2</f>
        <v>2.5105585549192136E-2</v>
      </c>
    </row>
    <row r="13" spans="3:8" x14ac:dyDescent="0.25">
      <c r="C13" t="s">
        <v>2</v>
      </c>
      <c r="D13" s="2">
        <f>ROUND(($D$1-$D$8)*'250TAF Basis'!D4,0)</f>
        <v>1320</v>
      </c>
      <c r="E13" s="8">
        <f t="shared" si="2"/>
        <v>7.5428571428571428E-4</v>
      </c>
      <c r="F13" s="18">
        <f t="shared" si="4"/>
        <v>3741257.1428571427</v>
      </c>
      <c r="G13" s="13">
        <f t="shared" si="3"/>
        <v>1.5552740876019911E-3</v>
      </c>
      <c r="H13" s="1">
        <f t="shared" si="5"/>
        <v>2.4587160853324803E-2</v>
      </c>
    </row>
    <row r="14" spans="3:8" x14ac:dyDescent="0.25">
      <c r="C14" t="s">
        <v>3</v>
      </c>
      <c r="D14" s="2">
        <f>ROUND(($D$1-$D$8)*'250TAF Basis'!D5,0)</f>
        <v>44000</v>
      </c>
      <c r="E14" s="8">
        <f t="shared" si="2"/>
        <v>2.5142857142857144E-2</v>
      </c>
      <c r="F14" s="18">
        <f t="shared" si="4"/>
        <v>124708571.42857143</v>
      </c>
      <c r="G14" s="13">
        <f t="shared" si="3"/>
        <v>5.1842469586733039E-2</v>
      </c>
      <c r="H14" s="1">
        <f t="shared" si="5"/>
        <v>4.9730758602890328E-2</v>
      </c>
    </row>
    <row r="15" spans="3:8" x14ac:dyDescent="0.25">
      <c r="C15" t="s">
        <v>4</v>
      </c>
      <c r="D15" s="2">
        <f>ROUND(($D$1-$D$8)*'250TAF Basis'!D6,0)</f>
        <v>44000</v>
      </c>
      <c r="E15" s="8">
        <f t="shared" si="2"/>
        <v>2.5142857142857144E-2</v>
      </c>
      <c r="F15" s="18">
        <f t="shared" si="4"/>
        <v>124708571.42857143</v>
      </c>
      <c r="G15" s="13">
        <f t="shared" si="3"/>
        <v>5.1842469586733039E-2</v>
      </c>
      <c r="H15" s="1">
        <f t="shared" si="5"/>
        <v>4.9730758602890328E-2</v>
      </c>
    </row>
    <row r="16" spans="3:8" x14ac:dyDescent="0.25">
      <c r="C16" t="s">
        <v>5</v>
      </c>
      <c r="D16" s="2">
        <f>ROUND(($D$1-$D$8)*'250TAF Basis'!D7,0)</f>
        <v>52690</v>
      </c>
      <c r="E16" s="8">
        <f t="shared" si="2"/>
        <v>3.0108571428571429E-2</v>
      </c>
      <c r="F16" s="18">
        <f t="shared" si="4"/>
        <v>149338514.2857143</v>
      </c>
      <c r="G16" s="13">
        <f t="shared" si="3"/>
        <v>6.2081357330112816E-2</v>
      </c>
      <c r="H16" s="1">
        <f t="shared" si="5"/>
        <v>5.4850202474580216E-2</v>
      </c>
    </row>
    <row r="17" spans="3:8" x14ac:dyDescent="0.25">
      <c r="C17" t="s">
        <v>6</v>
      </c>
      <c r="D17" s="2">
        <f>ROUND(($D$1-$D$8)*'250TAF Basis'!D8,0)</f>
        <v>28600</v>
      </c>
      <c r="E17" s="8">
        <f t="shared" si="2"/>
        <v>1.6342857142857142E-2</v>
      </c>
      <c r="F17" s="18">
        <f t="shared" si="4"/>
        <v>81060571.428571418</v>
      </c>
      <c r="G17" s="13">
        <f t="shared" si="3"/>
        <v>3.3697605231376479E-2</v>
      </c>
      <c r="H17" s="1">
        <f t="shared" si="5"/>
        <v>4.0658326425212048E-2</v>
      </c>
    </row>
    <row r="18" spans="3:8" x14ac:dyDescent="0.25">
      <c r="C18" t="s">
        <v>7</v>
      </c>
      <c r="D18" s="2">
        <f>ROUND(($D$1-$D$8)*'250TAF Basis'!D9,0)</f>
        <v>22000</v>
      </c>
      <c r="E18" s="8">
        <f t="shared" si="2"/>
        <v>1.2571428571428572E-2</v>
      </c>
      <c r="F18" s="18">
        <f t="shared" si="4"/>
        <v>62354285.714285716</v>
      </c>
      <c r="G18" s="13">
        <f t="shared" si="3"/>
        <v>2.592123479336652E-2</v>
      </c>
      <c r="H18" s="1">
        <f t="shared" si="5"/>
        <v>3.6770141206207071E-2</v>
      </c>
    </row>
    <row r="19" spans="3:8" x14ac:dyDescent="0.25">
      <c r="C19" t="s">
        <v>8</v>
      </c>
      <c r="D19" s="2">
        <f>ROUND(($D$1-$D$8)*'250TAF Basis'!D10,0)</f>
        <v>220000</v>
      </c>
      <c r="E19" s="8">
        <f t="shared" si="2"/>
        <v>0.12571428571428572</v>
      </c>
      <c r="F19" s="18">
        <f t="shared" si="4"/>
        <v>623542857.14285719</v>
      </c>
      <c r="G19" s="13">
        <f t="shared" si="3"/>
        <v>0.25921234793366521</v>
      </c>
      <c r="H19" s="1">
        <f t="shared" si="5"/>
        <v>0.15341569777635641</v>
      </c>
    </row>
    <row r="20" spans="3:8" x14ac:dyDescent="0.25">
      <c r="C20" t="s">
        <v>9</v>
      </c>
      <c r="D20" s="2">
        <f>ROUND(($D$1-$D$8)*'250TAF Basis'!D11,0)</f>
        <v>17600</v>
      </c>
      <c r="E20" s="8">
        <f t="shared" si="2"/>
        <v>1.0057142857142857E-2</v>
      </c>
      <c r="F20" s="18">
        <f t="shared" si="4"/>
        <v>49883428.571428567</v>
      </c>
      <c r="G20" s="13">
        <f t="shared" si="3"/>
        <v>2.0736987834693216E-2</v>
      </c>
      <c r="H20" s="1">
        <f t="shared" si="5"/>
        <v>3.4178017726870416E-2</v>
      </c>
    </row>
    <row r="21" spans="3:8" x14ac:dyDescent="0.25">
      <c r="C21" t="s">
        <v>10</v>
      </c>
      <c r="D21" s="2">
        <f>ROUND(($D$1-$D$8)*'250TAF Basis'!D12,0)</f>
        <v>94160</v>
      </c>
      <c r="E21" s="8">
        <f t="shared" si="2"/>
        <v>5.3805714285714283E-2</v>
      </c>
      <c r="F21" s="18">
        <f t="shared" si="4"/>
        <v>266876342.85714284</v>
      </c>
      <c r="G21" s="13">
        <f t="shared" si="3"/>
        <v>0.11094288491560871</v>
      </c>
      <c r="H21" s="1">
        <f t="shared" si="5"/>
        <v>7.9280966267328168E-2</v>
      </c>
    </row>
    <row r="22" spans="3:8" x14ac:dyDescent="0.25">
      <c r="C22" t="s">
        <v>11</v>
      </c>
      <c r="D22" s="2">
        <f>ROUND(($D$1-$D$8)*'250TAF Basis'!D13,0)</f>
        <v>61600</v>
      </c>
      <c r="E22" s="8">
        <f t="shared" si="2"/>
        <v>3.5200000000000002E-2</v>
      </c>
      <c r="F22" s="18">
        <f t="shared" si="4"/>
        <v>174592000</v>
      </c>
      <c r="G22" s="13">
        <f t="shared" si="3"/>
        <v>7.2579457421426255E-2</v>
      </c>
      <c r="H22" s="1">
        <f t="shared" si="5"/>
        <v>6.0099252520236936E-2</v>
      </c>
    </row>
    <row r="23" spans="3:8" x14ac:dyDescent="0.25">
      <c r="C23" t="s">
        <v>12</v>
      </c>
      <c r="D23" s="2">
        <f>ROUND(($D$1-$D$8)*'250TAF Basis'!D14,0)</f>
        <v>70400</v>
      </c>
      <c r="E23" s="8">
        <f t="shared" si="2"/>
        <v>4.0228571428571426E-2</v>
      </c>
      <c r="F23" s="18">
        <f t="shared" si="4"/>
        <v>199533714.28571427</v>
      </c>
      <c r="G23" s="13">
        <f t="shared" si="3"/>
        <v>8.2947951338772863E-2</v>
      </c>
      <c r="H23" s="1">
        <f t="shared" si="5"/>
        <v>6.528349947891024E-2</v>
      </c>
    </row>
    <row r="24" spans="3:8" x14ac:dyDescent="0.25">
      <c r="C24" t="s">
        <v>13</v>
      </c>
      <c r="D24" s="2">
        <f>ROUND(($D$1-$D$8)*'250TAF Basis'!D15,0)</f>
        <v>22000</v>
      </c>
      <c r="E24" s="8">
        <f t="shared" si="2"/>
        <v>1.2571428571428572E-2</v>
      </c>
      <c r="F24" s="18">
        <f t="shared" si="4"/>
        <v>62354285.714285716</v>
      </c>
      <c r="G24" s="13">
        <f t="shared" si="3"/>
        <v>2.592123479336652E-2</v>
      </c>
      <c r="H24" s="1">
        <f t="shared" si="5"/>
        <v>3.6770141206207071E-2</v>
      </c>
    </row>
    <row r="25" spans="3:8" x14ac:dyDescent="0.25">
      <c r="C25" t="s">
        <v>14</v>
      </c>
      <c r="D25" s="2">
        <f>ROUND(($D$1-$D$8)*'250TAF Basis'!D16,0)</f>
        <v>1980</v>
      </c>
      <c r="E25" s="8">
        <f t="shared" si="2"/>
        <v>1.1314285714285714E-3</v>
      </c>
      <c r="F25" s="18">
        <f t="shared" si="4"/>
        <v>5611885.7142857146</v>
      </c>
      <c r="G25" s="13">
        <f t="shared" si="3"/>
        <v>2.332911131402987E-3</v>
      </c>
      <c r="H25" s="1">
        <f t="shared" si="5"/>
        <v>2.4975979375225301E-2</v>
      </c>
    </row>
    <row r="26" spans="3:8" x14ac:dyDescent="0.25">
      <c r="C26" t="s">
        <v>15</v>
      </c>
      <c r="D26" s="2">
        <f>ROUND(($D$1-$D$8)*'250TAF Basis'!D17,0)</f>
        <v>8800</v>
      </c>
      <c r="E26" s="8">
        <f t="shared" si="2"/>
        <v>5.0285714285714283E-3</v>
      </c>
      <c r="F26" s="18">
        <f t="shared" si="4"/>
        <v>24941714.285714284</v>
      </c>
      <c r="G26" s="13">
        <f t="shared" si="3"/>
        <v>1.0368493917346608E-2</v>
      </c>
      <c r="H26" s="1">
        <f t="shared" si="5"/>
        <v>2.8993770768197112E-2</v>
      </c>
    </row>
    <row r="27" spans="3:8" x14ac:dyDescent="0.25">
      <c r="C27" t="s">
        <v>16</v>
      </c>
      <c r="D27" s="2">
        <f>ROUND(($D$1-$D$8)*'250TAF Basis'!D18,0)</f>
        <v>11955</v>
      </c>
      <c r="E27" s="8">
        <f>D27/$D$1</f>
        <v>6.8314285714285716E-3</v>
      </c>
      <c r="F27" s="18">
        <f t="shared" si="4"/>
        <v>33883885.714285716</v>
      </c>
      <c r="G27" s="13">
        <f t="shared" si="3"/>
        <v>1.4085834634304397E-2</v>
      </c>
      <c r="H27" s="1">
        <f t="shared" si="5"/>
        <v>3.0852441126676008E-2</v>
      </c>
    </row>
    <row r="28" spans="3:8" x14ac:dyDescent="0.25">
      <c r="C28" t="s">
        <v>17</v>
      </c>
      <c r="D28" s="2">
        <f>ROUND(($D$1-$D$8)*'250TAF Basis'!D19,0)</f>
        <v>4400</v>
      </c>
      <c r="E28" s="8">
        <f t="shared" si="2"/>
        <v>2.5142857142857141E-3</v>
      </c>
      <c r="F28" s="18">
        <f t="shared" si="4"/>
        <v>12470857.142857142</v>
      </c>
      <c r="G28" s="13">
        <f t="shared" si="3"/>
        <v>5.1842469586733039E-3</v>
      </c>
      <c r="H28" s="1">
        <f t="shared" si="5"/>
        <v>2.640164728886046E-2</v>
      </c>
    </row>
    <row r="29" spans="3:8" x14ac:dyDescent="0.25">
      <c r="C29" t="s">
        <v>18</v>
      </c>
      <c r="D29" s="2">
        <f>ROUND(($D$1-$D$8)*'250TAF Basis'!D20,0)</f>
        <v>66000</v>
      </c>
      <c r="E29" s="8">
        <f t="shared" si="2"/>
        <v>3.7714285714285714E-2</v>
      </c>
      <c r="F29" s="18">
        <f t="shared" si="4"/>
        <v>187062857.14285713</v>
      </c>
      <c r="G29" s="13">
        <f t="shared" si="3"/>
        <v>7.7763704380099566E-2</v>
      </c>
      <c r="H29" s="1">
        <f t="shared" si="5"/>
        <v>6.2691375999573584E-2</v>
      </c>
    </row>
    <row r="30" spans="3:8" x14ac:dyDescent="0.25">
      <c r="C30" t="s">
        <v>19</v>
      </c>
      <c r="D30" s="2">
        <f>ROUND(($D$1-$D$8)*'250TAF Basis'!D21,0)</f>
        <v>13420</v>
      </c>
      <c r="E30" s="8">
        <f t="shared" si="2"/>
        <v>7.6685714285714282E-3</v>
      </c>
      <c r="F30" s="18">
        <f t="shared" si="4"/>
        <v>38036114.285714284</v>
      </c>
      <c r="G30" s="13">
        <f t="shared" si="3"/>
        <v>1.5811953223953578E-2</v>
      </c>
      <c r="H30" s="1">
        <f t="shared" si="5"/>
        <v>3.1715500421500599E-2</v>
      </c>
    </row>
    <row r="31" spans="3:8" x14ac:dyDescent="0.25">
      <c r="C31" t="s">
        <v>20</v>
      </c>
      <c r="D31" s="2">
        <f>ROUND(($D$1-$D$8)*'250TAF Basis'!D22,0)</f>
        <v>44000</v>
      </c>
      <c r="E31" s="8">
        <f t="shared" si="2"/>
        <v>2.5142857142857144E-2</v>
      </c>
      <c r="F31" s="18">
        <f t="shared" si="4"/>
        <v>124708571.42857143</v>
      </c>
      <c r="G31" s="13">
        <f t="shared" si="3"/>
        <v>5.1842469586733039E-2</v>
      </c>
      <c r="H31" s="1">
        <f t="shared" si="5"/>
        <v>4.9730758602890328E-2</v>
      </c>
    </row>
    <row r="32" spans="3:8" x14ac:dyDescent="0.25">
      <c r="C32" s="7" t="s">
        <v>31</v>
      </c>
      <c r="D32" s="4">
        <f>SUM(D11:D31)</f>
        <v>848725</v>
      </c>
      <c r="E32" s="9">
        <f>SUM(E11:E31)</f>
        <v>0.4849857142857143</v>
      </c>
      <c r="F32" s="19">
        <f>SUM(F11:F31)</f>
        <v>2405529142.8571424</v>
      </c>
      <c r="G32" s="5">
        <f>SUM(G11:G31)</f>
        <v>0.99999999999999989</v>
      </c>
      <c r="H32" s="5">
        <f>SUM(H11:H31)</f>
        <v>1</v>
      </c>
    </row>
    <row r="34" spans="3:6" x14ac:dyDescent="0.25">
      <c r="C34" s="3" t="s">
        <v>41</v>
      </c>
      <c r="D34" s="4">
        <f>D1-D8-D32</f>
        <v>251275</v>
      </c>
      <c r="E34" s="10">
        <f t="shared" ref="E34" si="6">D34/$D$1</f>
        <v>0.14358571428571429</v>
      </c>
      <c r="F34" s="19">
        <f t="shared" ref="F34" si="7">$H$3*E34</f>
        <v>712185142.85714293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zoomScaleNormal="100" workbookViewId="0">
      <selection activeCell="D11" sqref="D11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1700000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425000</v>
      </c>
      <c r="E5" s="11">
        <f>D5/$D$1</f>
        <v>0.25</v>
      </c>
      <c r="F5" s="18">
        <f>$H$3*E5</f>
        <v>1240000000</v>
      </c>
    </row>
    <row r="6" spans="3:8" x14ac:dyDescent="0.25">
      <c r="C6" t="s">
        <v>22</v>
      </c>
      <c r="D6" s="2">
        <v>90000</v>
      </c>
      <c r="E6" s="11">
        <f t="shared" ref="E6:E7" si="0">D6/$D$1</f>
        <v>5.2941176470588235E-2</v>
      </c>
      <c r="F6" s="18">
        <f t="shared" ref="F6:F7" si="1">$H$3*E6</f>
        <v>262588235.29411763</v>
      </c>
      <c r="G6" s="18"/>
      <c r="H6" s="17"/>
    </row>
    <row r="7" spans="3:8" x14ac:dyDescent="0.25">
      <c r="C7" t="s">
        <v>23</v>
      </c>
      <c r="D7" s="2">
        <v>120000</v>
      </c>
      <c r="E7" s="11">
        <f t="shared" si="0"/>
        <v>7.0588235294117646E-2</v>
      </c>
      <c r="F7" s="18">
        <f t="shared" si="1"/>
        <v>350117647.05882353</v>
      </c>
    </row>
    <row r="8" spans="3:8" x14ac:dyDescent="0.25">
      <c r="C8" s="7" t="s">
        <v>30</v>
      </c>
      <c r="D8" s="4">
        <f>SUM(D5:D7)</f>
        <v>635000</v>
      </c>
      <c r="E8" s="9">
        <f>SUM(E5:E7)</f>
        <v>0.37352941176470589</v>
      </c>
      <c r="F8" s="19">
        <f>SUM(F5:F7)</f>
        <v>1852705882.3529413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ROUND(($D$1-$D$8)*'250TAF Basis'!D2,0)</f>
        <v>17040</v>
      </c>
      <c r="E11" s="8">
        <f t="shared" ref="E11:E31" si="2">D11/$D$1</f>
        <v>1.0023529411764705E-2</v>
      </c>
      <c r="F11" s="18">
        <f>$H$3*E11</f>
        <v>49716705.882352941</v>
      </c>
      <c r="G11" s="13">
        <f t="shared" ref="G11:G31" si="3">D11/$D$32</f>
        <v>2.0736990702429053E-2</v>
      </c>
      <c r="H11" s="1">
        <f>((1/21)+G11)/2</f>
        <v>3.4178019160738336E-2</v>
      </c>
    </row>
    <row r="12" spans="3:8" x14ac:dyDescent="0.25">
      <c r="C12" t="s">
        <v>1</v>
      </c>
      <c r="D12" s="2">
        <f>ROUND(($D$1-$D$8)*'250TAF Basis'!D3,0)</f>
        <v>2130</v>
      </c>
      <c r="E12" s="8">
        <f t="shared" si="2"/>
        <v>1.2529411764705882E-3</v>
      </c>
      <c r="F12" s="18">
        <f t="shared" ref="F12:F31" si="4">$H$3*E12</f>
        <v>6214588.2352941176</v>
      </c>
      <c r="G12" s="13">
        <f t="shared" si="3"/>
        <v>2.5921238378036316E-3</v>
      </c>
      <c r="H12" s="1">
        <f t="shared" ref="H12:H31" si="5">((1/21)+G12)/2</f>
        <v>2.5105585728425625E-2</v>
      </c>
    </row>
    <row r="13" spans="3:8" x14ac:dyDescent="0.25">
      <c r="C13" t="s">
        <v>2</v>
      </c>
      <c r="D13" s="2">
        <f>ROUND(($D$1-$D$8)*'250TAF Basis'!D4,0)</f>
        <v>1278</v>
      </c>
      <c r="E13" s="8">
        <f t="shared" si="2"/>
        <v>7.5176470588235293E-4</v>
      </c>
      <c r="F13" s="18">
        <f t="shared" si="4"/>
        <v>3728752.9411764704</v>
      </c>
      <c r="G13" s="13">
        <f t="shared" si="3"/>
        <v>1.5552743026821787E-3</v>
      </c>
      <c r="H13" s="1">
        <f t="shared" si="5"/>
        <v>2.4587160960864898E-2</v>
      </c>
    </row>
    <row r="14" spans="3:8" x14ac:dyDescent="0.25">
      <c r="C14" t="s">
        <v>3</v>
      </c>
      <c r="D14" s="2">
        <f>ROUND(($D$1-$D$8)*'250TAF Basis'!D5,0)</f>
        <v>42600</v>
      </c>
      <c r="E14" s="8">
        <f t="shared" si="2"/>
        <v>2.5058823529411765E-2</v>
      </c>
      <c r="F14" s="18">
        <f t="shared" si="4"/>
        <v>124291764.70588236</v>
      </c>
      <c r="G14" s="13">
        <f t="shared" si="3"/>
        <v>5.1842476756072627E-2</v>
      </c>
      <c r="H14" s="1">
        <f t="shared" si="5"/>
        <v>4.9730762187560118E-2</v>
      </c>
    </row>
    <row r="15" spans="3:8" x14ac:dyDescent="0.25">
      <c r="C15" t="s">
        <v>4</v>
      </c>
      <c r="D15" s="2">
        <f>ROUND(($D$1-$D$8)*'250TAF Basis'!D6,0)</f>
        <v>42600</v>
      </c>
      <c r="E15" s="8">
        <f t="shared" si="2"/>
        <v>2.5058823529411765E-2</v>
      </c>
      <c r="F15" s="18">
        <f t="shared" si="4"/>
        <v>124291764.70588236</v>
      </c>
      <c r="G15" s="13">
        <f t="shared" si="3"/>
        <v>5.1842476756072627E-2</v>
      </c>
      <c r="H15" s="1">
        <f t="shared" si="5"/>
        <v>4.9730762187560118E-2</v>
      </c>
    </row>
    <row r="16" spans="3:8" x14ac:dyDescent="0.25">
      <c r="C16" t="s">
        <v>5</v>
      </c>
      <c r="D16" s="2">
        <f>ROUND(($D$1-$D$8)*'250TAF Basis'!D7,0)</f>
        <v>51014</v>
      </c>
      <c r="E16" s="8">
        <f t="shared" si="2"/>
        <v>3.0008235294117648E-2</v>
      </c>
      <c r="F16" s="18">
        <f t="shared" si="4"/>
        <v>148840847.05882353</v>
      </c>
      <c r="G16" s="13">
        <f t="shared" si="3"/>
        <v>6.2081974395171102E-2</v>
      </c>
      <c r="H16" s="1">
        <f t="shared" si="5"/>
        <v>5.4850511007109359E-2</v>
      </c>
    </row>
    <row r="17" spans="3:8" x14ac:dyDescent="0.25">
      <c r="C17" t="s">
        <v>6</v>
      </c>
      <c r="D17" s="2">
        <f>ROUND(($D$1-$D$8)*'250TAF Basis'!D8,0)</f>
        <v>27690</v>
      </c>
      <c r="E17" s="8">
        <f t="shared" si="2"/>
        <v>1.6288235294117649E-2</v>
      </c>
      <c r="F17" s="18">
        <f t="shared" si="4"/>
        <v>80789647.058823541</v>
      </c>
      <c r="G17" s="13">
        <f t="shared" si="3"/>
        <v>3.3697609891447211E-2</v>
      </c>
      <c r="H17" s="1">
        <f t="shared" si="5"/>
        <v>4.0658328755247414E-2</v>
      </c>
    </row>
    <row r="18" spans="3:8" x14ac:dyDescent="0.25">
      <c r="C18" t="s">
        <v>7</v>
      </c>
      <c r="D18" s="2">
        <f>ROUND(($D$1-$D$8)*'250TAF Basis'!D9,0)</f>
        <v>21300</v>
      </c>
      <c r="E18" s="8">
        <f t="shared" si="2"/>
        <v>1.2529411764705883E-2</v>
      </c>
      <c r="F18" s="18">
        <f t="shared" si="4"/>
        <v>62145882.352941178</v>
      </c>
      <c r="G18" s="13">
        <f t="shared" si="3"/>
        <v>2.5921238378036313E-2</v>
      </c>
      <c r="H18" s="1">
        <f t="shared" si="5"/>
        <v>3.6770142998541963E-2</v>
      </c>
    </row>
    <row r="19" spans="3:8" x14ac:dyDescent="0.25">
      <c r="C19" t="s">
        <v>8</v>
      </c>
      <c r="D19" s="2">
        <f>ROUND(($D$1-$D$8)*'250TAF Basis'!D10,0)</f>
        <v>213000</v>
      </c>
      <c r="E19" s="8">
        <f t="shared" si="2"/>
        <v>0.12529411764705883</v>
      </c>
      <c r="F19" s="18">
        <f t="shared" si="4"/>
        <v>621458823.52941179</v>
      </c>
      <c r="G19" s="13">
        <f t="shared" si="3"/>
        <v>0.25921238378036315</v>
      </c>
      <c r="H19" s="1">
        <f t="shared" si="5"/>
        <v>0.15341571569970539</v>
      </c>
    </row>
    <row r="20" spans="3:8" x14ac:dyDescent="0.25">
      <c r="C20" t="s">
        <v>9</v>
      </c>
      <c r="D20" s="2">
        <f>ROUND(($D$1-$D$8)*'250TAF Basis'!D11,0)</f>
        <v>17040</v>
      </c>
      <c r="E20" s="8">
        <f t="shared" si="2"/>
        <v>1.0023529411764705E-2</v>
      </c>
      <c r="F20" s="18">
        <f t="shared" si="4"/>
        <v>49716705.882352941</v>
      </c>
      <c r="G20" s="13">
        <f t="shared" si="3"/>
        <v>2.0736990702429053E-2</v>
      </c>
      <c r="H20" s="1">
        <f t="shared" si="5"/>
        <v>3.4178019160738336E-2</v>
      </c>
    </row>
    <row r="21" spans="3:8" x14ac:dyDescent="0.25">
      <c r="C21" t="s">
        <v>10</v>
      </c>
      <c r="D21" s="2">
        <f>ROUND(($D$1-$D$8)*'250TAF Basis'!D12,0)</f>
        <v>91164</v>
      </c>
      <c r="E21" s="8">
        <f t="shared" si="2"/>
        <v>5.3625882352941176E-2</v>
      </c>
      <c r="F21" s="18">
        <f t="shared" si="4"/>
        <v>265984376.47058824</v>
      </c>
      <c r="G21" s="13">
        <f t="shared" si="3"/>
        <v>0.11094290025799543</v>
      </c>
      <c r="H21" s="1">
        <f t="shared" si="5"/>
        <v>7.9280973938521515E-2</v>
      </c>
    </row>
    <row r="22" spans="3:8" x14ac:dyDescent="0.25">
      <c r="C22" t="s">
        <v>11</v>
      </c>
      <c r="D22" s="2">
        <f>ROUND(($D$1-$D$8)*'250TAF Basis'!D13,0)</f>
        <v>59640</v>
      </c>
      <c r="E22" s="8">
        <f t="shared" si="2"/>
        <v>3.5082352941176467E-2</v>
      </c>
      <c r="F22" s="18">
        <f t="shared" si="4"/>
        <v>174008470.58823529</v>
      </c>
      <c r="G22" s="13">
        <f t="shared" si="3"/>
        <v>7.2579467458501676E-2</v>
      </c>
      <c r="H22" s="1">
        <f t="shared" si="5"/>
        <v>6.0099257538774646E-2</v>
      </c>
    </row>
    <row r="23" spans="3:8" x14ac:dyDescent="0.25">
      <c r="C23" t="s">
        <v>12</v>
      </c>
      <c r="D23" s="2">
        <f>ROUND(($D$1-$D$8)*'250TAF Basis'!D14,0)</f>
        <v>68160</v>
      </c>
      <c r="E23" s="8">
        <f t="shared" si="2"/>
        <v>4.0094117647058822E-2</v>
      </c>
      <c r="F23" s="18">
        <f t="shared" si="4"/>
        <v>198866823.52941176</v>
      </c>
      <c r="G23" s="13">
        <f t="shared" si="3"/>
        <v>8.2947962809716211E-2</v>
      </c>
      <c r="H23" s="1">
        <f t="shared" si="5"/>
        <v>6.5283505214381921E-2</v>
      </c>
    </row>
    <row r="24" spans="3:8" x14ac:dyDescent="0.25">
      <c r="C24" t="s">
        <v>13</v>
      </c>
      <c r="D24" s="2">
        <f>ROUND(($D$1-$D$8)*'250TAF Basis'!D15,0)</f>
        <v>21300</v>
      </c>
      <c r="E24" s="8">
        <f t="shared" si="2"/>
        <v>1.2529411764705883E-2</v>
      </c>
      <c r="F24" s="18">
        <f t="shared" si="4"/>
        <v>62145882.352941178</v>
      </c>
      <c r="G24" s="13">
        <f t="shared" si="3"/>
        <v>2.5921238378036313E-2</v>
      </c>
      <c r="H24" s="1">
        <f t="shared" si="5"/>
        <v>3.6770142998541963E-2</v>
      </c>
    </row>
    <row r="25" spans="3:8" x14ac:dyDescent="0.25">
      <c r="C25" t="s">
        <v>14</v>
      </c>
      <c r="D25" s="2">
        <f>ROUND(($D$1-$D$8)*'250TAF Basis'!D16,0)</f>
        <v>1917</v>
      </c>
      <c r="E25" s="8">
        <f t="shared" si="2"/>
        <v>1.1276470588235294E-3</v>
      </c>
      <c r="F25" s="18">
        <f t="shared" si="4"/>
        <v>5593129.4117647065</v>
      </c>
      <c r="G25" s="13">
        <f t="shared" si="3"/>
        <v>2.3329114540232682E-3</v>
      </c>
      <c r="H25" s="1">
        <f t="shared" si="5"/>
        <v>2.4975979536535443E-2</v>
      </c>
    </row>
    <row r="26" spans="3:8" x14ac:dyDescent="0.25">
      <c r="C26" t="s">
        <v>15</v>
      </c>
      <c r="D26" s="2">
        <f>ROUND(($D$1-$D$8)*'250TAF Basis'!D17,0)</f>
        <v>8520</v>
      </c>
      <c r="E26" s="8">
        <f t="shared" si="2"/>
        <v>5.0117647058823527E-3</v>
      </c>
      <c r="F26" s="18">
        <f t="shared" si="4"/>
        <v>24858352.94117647</v>
      </c>
      <c r="G26" s="13">
        <f t="shared" si="3"/>
        <v>1.0368495351214526E-2</v>
      </c>
      <c r="H26" s="1">
        <f t="shared" si="5"/>
        <v>2.8993771485131072E-2</v>
      </c>
    </row>
    <row r="27" spans="3:8" x14ac:dyDescent="0.25">
      <c r="C27" t="s">
        <v>16</v>
      </c>
      <c r="D27" s="2">
        <f>ROUND(($D$1-$D$8)*'250TAF Basis'!D18,0)</f>
        <v>11574</v>
      </c>
      <c r="E27" s="8">
        <f>D27/$D$1</f>
        <v>6.8082352941176471E-3</v>
      </c>
      <c r="F27" s="18">
        <f t="shared" si="4"/>
        <v>33768847.058823526</v>
      </c>
      <c r="G27" s="13">
        <f t="shared" si="3"/>
        <v>1.4085089811614661E-2</v>
      </c>
      <c r="H27" s="1">
        <f t="shared" si="5"/>
        <v>3.0852068715331138E-2</v>
      </c>
    </row>
    <row r="28" spans="3:8" x14ac:dyDescent="0.25">
      <c r="C28" t="s">
        <v>17</v>
      </c>
      <c r="D28" s="2">
        <f>ROUND(($D$1-$D$8)*'250TAF Basis'!D19,0)</f>
        <v>4260</v>
      </c>
      <c r="E28" s="8">
        <f t="shared" si="2"/>
        <v>2.5058823529411764E-3</v>
      </c>
      <c r="F28" s="18">
        <f t="shared" si="4"/>
        <v>12429176.470588235</v>
      </c>
      <c r="G28" s="13">
        <f t="shared" si="3"/>
        <v>5.1842476756072632E-3</v>
      </c>
      <c r="H28" s="1">
        <f t="shared" si="5"/>
        <v>2.6401647647327438E-2</v>
      </c>
    </row>
    <row r="29" spans="3:8" x14ac:dyDescent="0.25">
      <c r="C29" t="s">
        <v>18</v>
      </c>
      <c r="D29" s="2">
        <f>ROUND(($D$1-$D$8)*'250TAF Basis'!D20,0)</f>
        <v>63900</v>
      </c>
      <c r="E29" s="8">
        <f t="shared" si="2"/>
        <v>3.7588235294117645E-2</v>
      </c>
      <c r="F29" s="18">
        <f t="shared" si="4"/>
        <v>186437647.05882353</v>
      </c>
      <c r="G29" s="13">
        <f t="shared" si="3"/>
        <v>7.7763715134108943E-2</v>
      </c>
      <c r="H29" s="1">
        <f t="shared" si="5"/>
        <v>6.2691381376578287E-2</v>
      </c>
    </row>
    <row r="30" spans="3:8" x14ac:dyDescent="0.25">
      <c r="C30" t="s">
        <v>19</v>
      </c>
      <c r="D30" s="2">
        <f>ROUND(($D$1-$D$8)*'250TAF Basis'!D21,0)</f>
        <v>12993</v>
      </c>
      <c r="E30" s="8">
        <f t="shared" si="2"/>
        <v>7.6429411764705885E-3</v>
      </c>
      <c r="F30" s="18">
        <f t="shared" si="4"/>
        <v>37908988.235294119</v>
      </c>
      <c r="G30" s="13">
        <f t="shared" si="3"/>
        <v>1.5811955410602152E-2</v>
      </c>
      <c r="H30" s="1">
        <f t="shared" si="5"/>
        <v>3.1715501514824884E-2</v>
      </c>
    </row>
    <row r="31" spans="3:8" x14ac:dyDescent="0.25">
      <c r="C31" t="s">
        <v>20</v>
      </c>
      <c r="D31" s="2">
        <f>ROUND(($D$1-$D$8)*'250TAF Basis'!D22,0)</f>
        <v>42600</v>
      </c>
      <c r="E31" s="8">
        <f t="shared" si="2"/>
        <v>2.5058823529411765E-2</v>
      </c>
      <c r="F31" s="18">
        <f t="shared" si="4"/>
        <v>124291764.70588236</v>
      </c>
      <c r="G31" s="13">
        <f t="shared" si="3"/>
        <v>5.1842476756072627E-2</v>
      </c>
      <c r="H31" s="1">
        <f t="shared" si="5"/>
        <v>4.9730762187560118E-2</v>
      </c>
    </row>
    <row r="32" spans="3:8" x14ac:dyDescent="0.25">
      <c r="C32" s="7" t="s">
        <v>31</v>
      </c>
      <c r="D32" s="4">
        <f>SUM(D11:D31)</f>
        <v>821720</v>
      </c>
      <c r="E32" s="9">
        <f>SUM(E11:E31)</f>
        <v>0.48336470588235292</v>
      </c>
      <c r="F32" s="19">
        <f>SUM(F11:F31)</f>
        <v>2397488941.1764708</v>
      </c>
      <c r="G32" s="5">
        <f>SUM(G11:G31)</f>
        <v>1</v>
      </c>
      <c r="H32" s="5">
        <f>SUM(H11:H31)</f>
        <v>0.99999999999999989</v>
      </c>
    </row>
    <row r="34" spans="3:6" x14ac:dyDescent="0.25">
      <c r="C34" s="3" t="s">
        <v>41</v>
      </c>
      <c r="D34" s="4">
        <f>D1-D8-D32</f>
        <v>243280</v>
      </c>
      <c r="E34" s="10">
        <f t="shared" ref="E34" si="6">D34/$D$1</f>
        <v>0.14310588235294117</v>
      </c>
      <c r="F34" s="19">
        <f t="shared" ref="F34" si="7">$H$3*E34</f>
        <v>709805176.47058821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4"/>
  <sheetViews>
    <sheetView tabSelected="1" zoomScaleNormal="100" workbookViewId="0">
      <selection activeCell="D17" sqref="D17"/>
    </sheetView>
  </sheetViews>
  <sheetFormatPr defaultRowHeight="15" x14ac:dyDescent="0.25"/>
  <cols>
    <col min="3" max="3" width="48.42578125" customWidth="1"/>
    <col min="4" max="4" width="21.7109375" customWidth="1"/>
    <col min="5" max="5" width="15.85546875" customWidth="1"/>
    <col min="6" max="6" width="17" customWidth="1"/>
    <col min="7" max="7" width="21.42578125" customWidth="1"/>
    <col min="8" max="8" width="18.42578125" customWidth="1"/>
    <col min="9" max="9" width="10.28515625" customWidth="1"/>
    <col min="10" max="10" width="4.28515625" customWidth="1"/>
    <col min="11" max="11" width="3.5703125" customWidth="1"/>
    <col min="12" max="12" width="13" customWidth="1"/>
    <col min="13" max="13" width="12.28515625" customWidth="1"/>
  </cols>
  <sheetData>
    <row r="1" spans="3:8" x14ac:dyDescent="0.25">
      <c r="C1" s="3" t="s">
        <v>27</v>
      </c>
      <c r="D1" s="4">
        <v>1690000</v>
      </c>
      <c r="G1" s="3" t="s">
        <v>40</v>
      </c>
      <c r="H1" s="16">
        <f>5.2*10^9</f>
        <v>5200000000</v>
      </c>
    </row>
    <row r="2" spans="3:8" x14ac:dyDescent="0.25">
      <c r="C2" s="3"/>
      <c r="D2" s="4"/>
      <c r="G2" s="3" t="s">
        <v>38</v>
      </c>
      <c r="H2" s="16">
        <f>0.24*10^9</f>
        <v>240000000</v>
      </c>
    </row>
    <row r="3" spans="3:8" x14ac:dyDescent="0.25">
      <c r="G3" s="3" t="s">
        <v>39</v>
      </c>
      <c r="H3" s="16">
        <f>H1-H2</f>
        <v>4960000000</v>
      </c>
    </row>
    <row r="4" spans="3:8" x14ac:dyDescent="0.25">
      <c r="C4" s="3" t="s">
        <v>28</v>
      </c>
      <c r="D4" s="6" t="s">
        <v>25</v>
      </c>
      <c r="E4" s="6" t="s">
        <v>24</v>
      </c>
      <c r="F4" s="6" t="s">
        <v>37</v>
      </c>
    </row>
    <row r="5" spans="3:8" x14ac:dyDescent="0.25">
      <c r="C5" t="s">
        <v>21</v>
      </c>
      <c r="D5" s="2">
        <v>425000</v>
      </c>
      <c r="E5" s="11">
        <f>D5/$D$1</f>
        <v>0.25147928994082841</v>
      </c>
      <c r="F5" s="18">
        <f>$H$3*E5</f>
        <v>1247337278.106509</v>
      </c>
    </row>
    <row r="6" spans="3:8" x14ac:dyDescent="0.25">
      <c r="C6" t="s">
        <v>22</v>
      </c>
      <c r="D6" s="2">
        <v>90000</v>
      </c>
      <c r="E6" s="11">
        <f t="shared" ref="E6:E7" si="0">D6/$D$1</f>
        <v>5.3254437869822487E-2</v>
      </c>
      <c r="F6" s="18">
        <f t="shared" ref="F6:F7" si="1">$H$3*E6</f>
        <v>264142011.83431953</v>
      </c>
      <c r="G6" s="18"/>
      <c r="H6" s="17"/>
    </row>
    <row r="7" spans="3:8" x14ac:dyDescent="0.25">
      <c r="C7" t="s">
        <v>23</v>
      </c>
      <c r="D7" s="2">
        <v>120000</v>
      </c>
      <c r="E7" s="11">
        <f t="shared" si="0"/>
        <v>7.1005917159763315E-2</v>
      </c>
      <c r="F7" s="18">
        <f t="shared" si="1"/>
        <v>352189349.11242604</v>
      </c>
    </row>
    <row r="8" spans="3:8" x14ac:dyDescent="0.25">
      <c r="C8" s="7" t="s">
        <v>30</v>
      </c>
      <c r="D8" s="4">
        <f>SUM(D5:D7)</f>
        <v>635000</v>
      </c>
      <c r="E8" s="9">
        <f>SUM(E5:E7)</f>
        <v>0.37573964497041423</v>
      </c>
      <c r="F8" s="19">
        <f>SUM(F5:F7)</f>
        <v>1863668639.0532546</v>
      </c>
    </row>
    <row r="9" spans="3:8" x14ac:dyDescent="0.25">
      <c r="D9" s="2"/>
    </row>
    <row r="10" spans="3:8" x14ac:dyDescent="0.25">
      <c r="C10" s="3" t="s">
        <v>29</v>
      </c>
      <c r="D10" s="6" t="s">
        <v>25</v>
      </c>
      <c r="E10" s="6" t="s">
        <v>24</v>
      </c>
      <c r="F10" s="6" t="s">
        <v>37</v>
      </c>
      <c r="G10" s="6" t="s">
        <v>26</v>
      </c>
      <c r="H10" s="3" t="s">
        <v>35</v>
      </c>
    </row>
    <row r="11" spans="3:8" x14ac:dyDescent="0.25">
      <c r="C11" t="s">
        <v>0</v>
      </c>
      <c r="D11" s="2">
        <f>ROUND(($D$1-$D$8)*'250TAF Basis'!D2,0)</f>
        <v>16880</v>
      </c>
      <c r="E11" s="8">
        <f t="shared" ref="E11:E31" si="2">D11/$D$1</f>
        <v>9.9881656804733723E-3</v>
      </c>
      <c r="F11" s="18">
        <f>$H$3*E11</f>
        <v>49541301.77514793</v>
      </c>
      <c r="G11" s="13">
        <f t="shared" ref="G11:G31" si="3">D11/$D$32</f>
        <v>2.0736973360114496E-2</v>
      </c>
      <c r="H11" s="1">
        <f>((1/21)+G11)/2</f>
        <v>3.4178010489581058E-2</v>
      </c>
    </row>
    <row r="12" spans="3:8" x14ac:dyDescent="0.25">
      <c r="C12" t="s">
        <v>1</v>
      </c>
      <c r="D12" s="2">
        <f>ROUND(($D$1-$D$8)*'250TAF Basis'!D3,0)</f>
        <v>2110</v>
      </c>
      <c r="E12" s="8">
        <f t="shared" si="2"/>
        <v>1.2485207100591715E-3</v>
      </c>
      <c r="F12" s="18">
        <f t="shared" ref="F12:F31" si="4">$H$3*E12</f>
        <v>6192662.7218934912</v>
      </c>
      <c r="G12" s="13">
        <f t="shared" si="3"/>
        <v>2.592121670014312E-3</v>
      </c>
      <c r="H12" s="1">
        <f t="shared" ref="H12:H31" si="5">((1/21)+G12)/2</f>
        <v>2.5105584644530964E-2</v>
      </c>
    </row>
    <row r="13" spans="3:8" x14ac:dyDescent="0.25">
      <c r="C13" t="s">
        <v>2</v>
      </c>
      <c r="D13" s="2">
        <f>ROUND(($D$1-$D$8)*'250TAF Basis'!D4,0)</f>
        <v>1266</v>
      </c>
      <c r="E13" s="8">
        <f t="shared" si="2"/>
        <v>7.4911242603550301E-4</v>
      </c>
      <c r="F13" s="18">
        <f t="shared" si="4"/>
        <v>3715597.633136095</v>
      </c>
      <c r="G13" s="13">
        <f t="shared" si="3"/>
        <v>1.5552730020085871E-3</v>
      </c>
      <c r="H13" s="1">
        <f t="shared" si="5"/>
        <v>2.45871603105281E-2</v>
      </c>
    </row>
    <row r="14" spans="3:8" x14ac:dyDescent="0.25">
      <c r="C14" t="s">
        <v>3</v>
      </c>
      <c r="D14" s="2">
        <f>ROUND(($D$1-$D$8)*'250TAF Basis'!D5,0)</f>
        <v>42200</v>
      </c>
      <c r="E14" s="8">
        <f t="shared" si="2"/>
        <v>2.4970414201183431E-2</v>
      </c>
      <c r="F14" s="18">
        <f t="shared" si="4"/>
        <v>123853254.43786982</v>
      </c>
      <c r="G14" s="13">
        <f t="shared" si="3"/>
        <v>5.1842433400286242E-2</v>
      </c>
      <c r="H14" s="1">
        <f t="shared" si="5"/>
        <v>4.9730740509666929E-2</v>
      </c>
    </row>
    <row r="15" spans="3:8" x14ac:dyDescent="0.25">
      <c r="C15" t="s">
        <v>4</v>
      </c>
      <c r="D15" s="2">
        <f>ROUND(($D$1-$D$8)*'250TAF Basis'!D6,0)</f>
        <v>42200</v>
      </c>
      <c r="E15" s="8">
        <f t="shared" si="2"/>
        <v>2.4970414201183431E-2</v>
      </c>
      <c r="F15" s="18">
        <f t="shared" si="4"/>
        <v>123853254.43786982</v>
      </c>
      <c r="G15" s="13">
        <f t="shared" si="3"/>
        <v>5.1842433400286242E-2</v>
      </c>
      <c r="H15" s="1">
        <f t="shared" si="5"/>
        <v>4.9730740509666929E-2</v>
      </c>
    </row>
    <row r="16" spans="3:8" x14ac:dyDescent="0.25">
      <c r="C16" t="s">
        <v>5</v>
      </c>
      <c r="D16" s="2">
        <f>ROUND(($D$1-$D$8)*'250TAF Basis'!D7,0)</f>
        <v>50535</v>
      </c>
      <c r="E16" s="8">
        <f t="shared" si="2"/>
        <v>2.9902366863905325E-2</v>
      </c>
      <c r="F16" s="18">
        <f t="shared" si="4"/>
        <v>148315739.64497042</v>
      </c>
      <c r="G16" s="13">
        <f t="shared" si="3"/>
        <v>6.2081928243684005E-2</v>
      </c>
      <c r="H16" s="1">
        <f t="shared" si="5"/>
        <v>5.4850487931365807E-2</v>
      </c>
    </row>
    <row r="17" spans="3:8" x14ac:dyDescent="0.25">
      <c r="C17" t="s">
        <v>6</v>
      </c>
      <c r="D17" s="2">
        <f>ROUND(($D$1-$D$8)*'250TAF Basis'!D8,0)</f>
        <v>27430</v>
      </c>
      <c r="E17" s="8">
        <f t="shared" si="2"/>
        <v>1.6230769230769229E-2</v>
      </c>
      <c r="F17" s="18">
        <f t="shared" si="4"/>
        <v>80504615.384615377</v>
      </c>
      <c r="G17" s="13">
        <f t="shared" si="3"/>
        <v>3.3697581710186053E-2</v>
      </c>
      <c r="H17" s="1">
        <f t="shared" si="5"/>
        <v>4.0658314664616835E-2</v>
      </c>
    </row>
    <row r="18" spans="3:8" x14ac:dyDescent="0.25">
      <c r="C18" t="s">
        <v>7</v>
      </c>
      <c r="D18" s="2">
        <f>ROUND(($D$1-$D$8)*'250TAF Basis'!D9,0)</f>
        <v>21100</v>
      </c>
      <c r="E18" s="8">
        <f t="shared" si="2"/>
        <v>1.2485207100591715E-2</v>
      </c>
      <c r="F18" s="18">
        <f t="shared" si="4"/>
        <v>61926627.218934909</v>
      </c>
      <c r="G18" s="13">
        <f t="shared" si="3"/>
        <v>2.5921216700143121E-2</v>
      </c>
      <c r="H18" s="1">
        <f t="shared" si="5"/>
        <v>3.6770132159595369E-2</v>
      </c>
    </row>
    <row r="19" spans="3:8" x14ac:dyDescent="0.25">
      <c r="C19" t="s">
        <v>8</v>
      </c>
      <c r="D19" s="2">
        <f>ROUND(($D$1-$D$8)*'250TAF Basis'!D10,0)</f>
        <v>211000</v>
      </c>
      <c r="E19" s="8">
        <f t="shared" si="2"/>
        <v>0.12485207100591716</v>
      </c>
      <c r="F19" s="18">
        <f t="shared" si="4"/>
        <v>619266272.18934917</v>
      </c>
      <c r="G19" s="13">
        <f t="shared" si="3"/>
        <v>0.25921216700143118</v>
      </c>
      <c r="H19" s="1">
        <f t="shared" si="5"/>
        <v>0.1534156073102394</v>
      </c>
    </row>
    <row r="20" spans="3:8" x14ac:dyDescent="0.25">
      <c r="C20" t="s">
        <v>9</v>
      </c>
      <c r="D20" s="2">
        <f>ROUND(($D$1-$D$8)*'250TAF Basis'!D11,0)</f>
        <v>16880</v>
      </c>
      <c r="E20" s="8">
        <f t="shared" si="2"/>
        <v>9.9881656804733723E-3</v>
      </c>
      <c r="F20" s="18">
        <f t="shared" si="4"/>
        <v>49541301.77514793</v>
      </c>
      <c r="G20" s="13">
        <f t="shared" si="3"/>
        <v>2.0736973360114496E-2</v>
      </c>
      <c r="H20" s="1">
        <f t="shared" si="5"/>
        <v>3.4178010489581058E-2</v>
      </c>
    </row>
    <row r="21" spans="3:8" x14ac:dyDescent="0.25">
      <c r="C21" t="s">
        <v>10</v>
      </c>
      <c r="D21" s="2">
        <f>ROUND(($D$1-$D$8)*'250TAF Basis'!D12,0)</f>
        <v>90308</v>
      </c>
      <c r="E21" s="8">
        <f t="shared" si="2"/>
        <v>5.3436686390532541E-2</v>
      </c>
      <c r="F21" s="18">
        <f t="shared" si="4"/>
        <v>265045964.4970414</v>
      </c>
      <c r="G21" s="13">
        <f t="shared" si="3"/>
        <v>0.11094280747661255</v>
      </c>
      <c r="H21" s="1">
        <f t="shared" si="5"/>
        <v>7.9280927547830088E-2</v>
      </c>
    </row>
    <row r="22" spans="3:8" x14ac:dyDescent="0.25">
      <c r="C22" t="s">
        <v>11</v>
      </c>
      <c r="D22" s="2">
        <f>ROUND(($D$1-$D$8)*'250TAF Basis'!D13,0)</f>
        <v>59080</v>
      </c>
      <c r="E22" s="8">
        <f t="shared" si="2"/>
        <v>3.4958579881656807E-2</v>
      </c>
      <c r="F22" s="18">
        <f t="shared" si="4"/>
        <v>173394556.21301776</v>
      </c>
      <c r="G22" s="13">
        <f t="shared" si="3"/>
        <v>7.2579406760400741E-2</v>
      </c>
      <c r="H22" s="1">
        <f t="shared" si="5"/>
        <v>6.0099227189724179E-2</v>
      </c>
    </row>
    <row r="23" spans="3:8" x14ac:dyDescent="0.25">
      <c r="C23" t="s">
        <v>12</v>
      </c>
      <c r="D23" s="2">
        <f>ROUND(($D$1-$D$8)*'250TAF Basis'!D14,0)</f>
        <v>67520</v>
      </c>
      <c r="E23" s="8">
        <f t="shared" si="2"/>
        <v>3.9952662721893489E-2</v>
      </c>
      <c r="F23" s="18">
        <f t="shared" si="4"/>
        <v>198165207.10059172</v>
      </c>
      <c r="G23" s="13">
        <f t="shared" si="3"/>
        <v>8.2947893440457984E-2</v>
      </c>
      <c r="H23" s="1">
        <f t="shared" si="5"/>
        <v>6.5283470529752807E-2</v>
      </c>
    </row>
    <row r="24" spans="3:8" x14ac:dyDescent="0.25">
      <c r="C24" t="s">
        <v>13</v>
      </c>
      <c r="D24" s="2">
        <f>ROUND(($D$1-$D$8)*'250TAF Basis'!D15,0)</f>
        <v>21100</v>
      </c>
      <c r="E24" s="8">
        <f t="shared" si="2"/>
        <v>1.2485207100591715E-2</v>
      </c>
      <c r="F24" s="18">
        <f t="shared" si="4"/>
        <v>61926627.218934909</v>
      </c>
      <c r="G24" s="13">
        <f t="shared" si="3"/>
        <v>2.5921216700143121E-2</v>
      </c>
      <c r="H24" s="1">
        <f t="shared" si="5"/>
        <v>3.6770132159595369E-2</v>
      </c>
    </row>
    <row r="25" spans="3:8" x14ac:dyDescent="0.25">
      <c r="C25" t="s">
        <v>14</v>
      </c>
      <c r="D25" s="2">
        <f>ROUND(($D$1-$D$8)*'250TAF Basis'!D16,0)</f>
        <v>1899</v>
      </c>
      <c r="E25" s="8">
        <f t="shared" si="2"/>
        <v>1.1236686390532545E-3</v>
      </c>
      <c r="F25" s="18">
        <f t="shared" si="4"/>
        <v>5573396.4497041423</v>
      </c>
      <c r="G25" s="13">
        <f t="shared" si="3"/>
        <v>2.3329095030128807E-3</v>
      </c>
      <c r="H25" s="1">
        <f t="shared" si="5"/>
        <v>2.4975978561030249E-2</v>
      </c>
    </row>
    <row r="26" spans="3:8" x14ac:dyDescent="0.25">
      <c r="C26" t="s">
        <v>15</v>
      </c>
      <c r="D26" s="2">
        <f>ROUND(($D$1-$D$8)*'250TAF Basis'!D17,0)</f>
        <v>8440</v>
      </c>
      <c r="E26" s="8">
        <f t="shared" si="2"/>
        <v>4.9940828402366862E-3</v>
      </c>
      <c r="F26" s="18">
        <f t="shared" si="4"/>
        <v>24770650.887573965</v>
      </c>
      <c r="G26" s="13">
        <f t="shared" si="3"/>
        <v>1.0368486680057248E-2</v>
      </c>
      <c r="H26" s="1">
        <f t="shared" si="5"/>
        <v>2.8993767149552433E-2</v>
      </c>
    </row>
    <row r="27" spans="3:8" x14ac:dyDescent="0.25">
      <c r="C27" t="s">
        <v>16</v>
      </c>
      <c r="D27" s="2">
        <f>ROUND(($D$1-$D$8)*'250TAF Basis'!D18,0)</f>
        <v>11466</v>
      </c>
      <c r="E27" s="8">
        <f>D27/$D$1</f>
        <v>6.7846153846153846E-3</v>
      </c>
      <c r="F27" s="18">
        <f t="shared" si="4"/>
        <v>33651692.307692304</v>
      </c>
      <c r="G27" s="13">
        <f t="shared" si="3"/>
        <v>1.4085908563215213E-2</v>
      </c>
      <c r="H27" s="1">
        <f t="shared" si="5"/>
        <v>3.0852478091131414E-2</v>
      </c>
    </row>
    <row r="28" spans="3:8" x14ac:dyDescent="0.25">
      <c r="C28" t="s">
        <v>17</v>
      </c>
      <c r="D28" s="2">
        <f>ROUND(($D$1-$D$8)*'250TAF Basis'!D19,0)</f>
        <v>4220</v>
      </c>
      <c r="E28" s="8">
        <f t="shared" si="2"/>
        <v>2.4970414201183431E-3</v>
      </c>
      <c r="F28" s="18">
        <f t="shared" si="4"/>
        <v>12385325.443786982</v>
      </c>
      <c r="G28" s="13">
        <f t="shared" si="3"/>
        <v>5.184243340028624E-3</v>
      </c>
      <c r="H28" s="1">
        <f t="shared" si="5"/>
        <v>2.6401645479538119E-2</v>
      </c>
    </row>
    <row r="29" spans="3:8" x14ac:dyDescent="0.25">
      <c r="C29" t="s">
        <v>18</v>
      </c>
      <c r="D29" s="2">
        <f>ROUND(($D$1-$D$8)*'250TAF Basis'!D20,0)</f>
        <v>63300</v>
      </c>
      <c r="E29" s="8">
        <f t="shared" si="2"/>
        <v>3.7455621301775148E-2</v>
      </c>
      <c r="F29" s="18">
        <f t="shared" si="4"/>
        <v>185779881.65680474</v>
      </c>
      <c r="G29" s="13">
        <f t="shared" si="3"/>
        <v>7.7763650100429363E-2</v>
      </c>
      <c r="H29" s="1">
        <f t="shared" si="5"/>
        <v>6.2691348859738483E-2</v>
      </c>
    </row>
    <row r="30" spans="3:8" x14ac:dyDescent="0.25">
      <c r="C30" t="s">
        <v>19</v>
      </c>
      <c r="D30" s="2">
        <f>ROUND(($D$1-$D$8)*'250TAF Basis'!D21,0)</f>
        <v>12871</v>
      </c>
      <c r="E30" s="8">
        <f t="shared" si="2"/>
        <v>7.6159763313609465E-3</v>
      </c>
      <c r="F30" s="18">
        <f t="shared" si="4"/>
        <v>37775242.603550293</v>
      </c>
      <c r="G30" s="13">
        <f t="shared" si="3"/>
        <v>1.5811942187087303E-2</v>
      </c>
      <c r="H30" s="1">
        <f t="shared" si="5"/>
        <v>3.1715494903067458E-2</v>
      </c>
    </row>
    <row r="31" spans="3:8" x14ac:dyDescent="0.25">
      <c r="C31" t="s">
        <v>20</v>
      </c>
      <c r="D31" s="2">
        <f>ROUND(($D$1-$D$8)*'250TAF Basis'!D22,0)</f>
        <v>42200</v>
      </c>
      <c r="E31" s="8">
        <f t="shared" si="2"/>
        <v>2.4970414201183431E-2</v>
      </c>
      <c r="F31" s="18">
        <f t="shared" si="4"/>
        <v>123853254.43786982</v>
      </c>
      <c r="G31" s="13">
        <f t="shared" si="3"/>
        <v>5.1842433400286242E-2</v>
      </c>
      <c r="H31" s="1">
        <f t="shared" si="5"/>
        <v>4.9730740509666929E-2</v>
      </c>
    </row>
    <row r="32" spans="3:8" x14ac:dyDescent="0.25">
      <c r="C32" s="7" t="s">
        <v>31</v>
      </c>
      <c r="D32" s="4">
        <f>SUM(D11:D31)</f>
        <v>814005</v>
      </c>
      <c r="E32" s="9">
        <f>SUM(E11:E31)</f>
        <v>0.48165976331360949</v>
      </c>
      <c r="F32" s="19">
        <f>SUM(F11:F31)</f>
        <v>2389032426.0355034</v>
      </c>
      <c r="G32" s="5">
        <f>SUM(G11:G31)</f>
        <v>1</v>
      </c>
      <c r="H32" s="5">
        <f>SUM(H11:H31)</f>
        <v>1</v>
      </c>
    </row>
    <row r="34" spans="3:6" x14ac:dyDescent="0.25">
      <c r="C34" s="3" t="s">
        <v>41</v>
      </c>
      <c r="D34" s="4">
        <f>D1-D8-D32</f>
        <v>240995</v>
      </c>
      <c r="E34" s="10">
        <f t="shared" ref="E34" si="6">D34/$D$1</f>
        <v>0.14260059171597633</v>
      </c>
      <c r="F34" s="19">
        <f t="shared" ref="F34" si="7">$H$3*E34</f>
        <v>707298934.9112426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E23"/>
  <sheetViews>
    <sheetView workbookViewId="0">
      <selection activeCell="B29" sqref="B29"/>
    </sheetView>
  </sheetViews>
  <sheetFormatPr defaultRowHeight="15" x14ac:dyDescent="0.25"/>
  <cols>
    <col min="2" max="2" width="43.85546875" customWidth="1"/>
    <col min="3" max="3" width="23.85546875" customWidth="1"/>
    <col min="4" max="4" width="15" customWidth="1"/>
    <col min="5" max="5" width="18.28515625" customWidth="1"/>
  </cols>
  <sheetData>
    <row r="1" spans="2:5" x14ac:dyDescent="0.25">
      <c r="B1" t="s">
        <v>32</v>
      </c>
      <c r="C1" t="s">
        <v>33</v>
      </c>
      <c r="D1" t="s">
        <v>34</v>
      </c>
    </row>
    <row r="2" spans="2:5" x14ac:dyDescent="0.25">
      <c r="B2" t="s">
        <v>0</v>
      </c>
      <c r="C2" s="2">
        <v>4000</v>
      </c>
      <c r="D2" s="12">
        <f>C2/250000</f>
        <v>1.6E-2</v>
      </c>
    </row>
    <row r="3" spans="2:5" x14ac:dyDescent="0.25">
      <c r="B3" t="s">
        <v>1</v>
      </c>
      <c r="C3" s="2">
        <v>500</v>
      </c>
      <c r="D3" s="12">
        <f t="shared" ref="D3:D22" si="0">C3/250000</f>
        <v>2E-3</v>
      </c>
    </row>
    <row r="4" spans="2:5" x14ac:dyDescent="0.25">
      <c r="B4" t="s">
        <v>2</v>
      </c>
      <c r="C4" s="2">
        <v>300</v>
      </c>
      <c r="D4" s="12">
        <f t="shared" si="0"/>
        <v>1.1999999999999999E-3</v>
      </c>
    </row>
    <row r="5" spans="2:5" x14ac:dyDescent="0.25">
      <c r="B5" t="s">
        <v>3</v>
      </c>
      <c r="C5" s="2">
        <v>10000</v>
      </c>
      <c r="D5" s="12">
        <f t="shared" si="0"/>
        <v>0.04</v>
      </c>
    </row>
    <row r="6" spans="2:5" x14ac:dyDescent="0.25">
      <c r="B6" t="s">
        <v>4</v>
      </c>
      <c r="C6" s="2">
        <v>10000</v>
      </c>
      <c r="D6" s="12">
        <f t="shared" si="0"/>
        <v>0.04</v>
      </c>
    </row>
    <row r="7" spans="2:5" x14ac:dyDescent="0.25">
      <c r="B7" t="s">
        <v>5</v>
      </c>
      <c r="C7" s="2">
        <v>11975</v>
      </c>
      <c r="D7" s="12">
        <f t="shared" si="0"/>
        <v>4.7899999999999998E-2</v>
      </c>
    </row>
    <row r="8" spans="2:5" x14ac:dyDescent="0.25">
      <c r="B8" t="s">
        <v>6</v>
      </c>
      <c r="C8" s="2">
        <v>6500</v>
      </c>
      <c r="D8" s="12">
        <f t="shared" si="0"/>
        <v>2.5999999999999999E-2</v>
      </c>
      <c r="E8" s="14"/>
    </row>
    <row r="9" spans="2:5" x14ac:dyDescent="0.25">
      <c r="B9" t="s">
        <v>7</v>
      </c>
      <c r="C9" s="2">
        <v>5000</v>
      </c>
      <c r="D9" s="12">
        <f t="shared" si="0"/>
        <v>0.02</v>
      </c>
    </row>
    <row r="10" spans="2:5" x14ac:dyDescent="0.25">
      <c r="B10" t="s">
        <v>8</v>
      </c>
      <c r="C10" s="2">
        <v>50000</v>
      </c>
      <c r="D10" s="12">
        <f t="shared" si="0"/>
        <v>0.2</v>
      </c>
    </row>
    <row r="11" spans="2:5" x14ac:dyDescent="0.25">
      <c r="B11" t="s">
        <v>9</v>
      </c>
      <c r="C11" s="2">
        <v>4000</v>
      </c>
      <c r="D11" s="12">
        <f t="shared" si="0"/>
        <v>1.6E-2</v>
      </c>
    </row>
    <row r="12" spans="2:5" x14ac:dyDescent="0.25">
      <c r="B12" t="s">
        <v>10</v>
      </c>
      <c r="C12" s="2">
        <v>21400</v>
      </c>
      <c r="D12" s="12">
        <f t="shared" si="0"/>
        <v>8.5599999999999996E-2</v>
      </c>
    </row>
    <row r="13" spans="2:5" x14ac:dyDescent="0.25">
      <c r="B13" t="s">
        <v>11</v>
      </c>
      <c r="C13" s="2">
        <v>14000</v>
      </c>
      <c r="D13" s="12">
        <f t="shared" si="0"/>
        <v>5.6000000000000001E-2</v>
      </c>
    </row>
    <row r="14" spans="2:5" x14ac:dyDescent="0.25">
      <c r="B14" t="s">
        <v>12</v>
      </c>
      <c r="C14" s="2">
        <v>16000</v>
      </c>
      <c r="D14" s="12">
        <f t="shared" si="0"/>
        <v>6.4000000000000001E-2</v>
      </c>
    </row>
    <row r="15" spans="2:5" x14ac:dyDescent="0.25">
      <c r="B15" t="s">
        <v>13</v>
      </c>
      <c r="C15" s="2">
        <v>5000</v>
      </c>
      <c r="D15" s="12">
        <f t="shared" si="0"/>
        <v>0.02</v>
      </c>
    </row>
    <row r="16" spans="2:5" x14ac:dyDescent="0.25">
      <c r="B16" t="s">
        <v>14</v>
      </c>
      <c r="C16" s="2">
        <v>450</v>
      </c>
      <c r="D16" s="12">
        <f t="shared" si="0"/>
        <v>1.8E-3</v>
      </c>
    </row>
    <row r="17" spans="2:4" x14ac:dyDescent="0.25">
      <c r="B17" t="s">
        <v>15</v>
      </c>
      <c r="C17" s="2">
        <v>2000</v>
      </c>
      <c r="D17" s="12">
        <f t="shared" si="0"/>
        <v>8.0000000000000002E-3</v>
      </c>
    </row>
    <row r="18" spans="2:4" x14ac:dyDescent="0.25">
      <c r="B18" t="s">
        <v>16</v>
      </c>
      <c r="C18" s="2">
        <v>2717</v>
      </c>
      <c r="D18" s="12">
        <f t="shared" si="0"/>
        <v>1.0867999999999999E-2</v>
      </c>
    </row>
    <row r="19" spans="2:4" x14ac:dyDescent="0.25">
      <c r="B19" t="s">
        <v>17</v>
      </c>
      <c r="C19" s="2">
        <v>1000</v>
      </c>
      <c r="D19" s="12">
        <f t="shared" si="0"/>
        <v>4.0000000000000001E-3</v>
      </c>
    </row>
    <row r="20" spans="2:4" x14ac:dyDescent="0.25">
      <c r="B20" t="s">
        <v>18</v>
      </c>
      <c r="C20" s="2">
        <v>15000</v>
      </c>
      <c r="D20" s="12">
        <f t="shared" si="0"/>
        <v>0.06</v>
      </c>
    </row>
    <row r="21" spans="2:4" x14ac:dyDescent="0.25">
      <c r="B21" t="s">
        <v>19</v>
      </c>
      <c r="C21" s="2">
        <v>3050</v>
      </c>
      <c r="D21" s="12">
        <f t="shared" si="0"/>
        <v>1.2200000000000001E-2</v>
      </c>
    </row>
    <row r="22" spans="2:4" x14ac:dyDescent="0.25">
      <c r="B22" t="s">
        <v>20</v>
      </c>
      <c r="C22" s="2">
        <v>10000</v>
      </c>
      <c r="D22" s="12">
        <f t="shared" si="0"/>
        <v>0.04</v>
      </c>
    </row>
    <row r="23" spans="2:4" x14ac:dyDescent="0.25">
      <c r="B23" t="s">
        <v>36</v>
      </c>
      <c r="C23" s="2">
        <f>SUM(C2:C22)</f>
        <v>192892</v>
      </c>
      <c r="D23" s="12">
        <f>SUM(D2:D22)</f>
        <v>0.77156800000000003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JJv1(with edits)</vt:lpstr>
      <vt:lpstr>JJv2</vt:lpstr>
      <vt:lpstr>JJv3</vt:lpstr>
      <vt:lpstr>JJv4</vt:lpstr>
      <vt:lpstr>192,892AF Basis</vt:lpstr>
      <vt:lpstr>JJv2 (2)</vt:lpstr>
      <vt:lpstr>JJv3 (2)</vt:lpstr>
      <vt:lpstr>JJv4 (2)</vt:lpstr>
      <vt:lpstr>250TAF Basis</vt:lpstr>
      <vt:lpstr>ELv1</vt:lpstr>
      <vt:lpstr>ELv2</vt:lpstr>
      <vt:lpstr>ELv3</vt:lpstr>
      <vt:lpstr>500TAF 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Valley Water</dc:creator>
  <cp:lastModifiedBy>Valley Water</cp:lastModifiedBy>
  <dcterms:created xsi:type="dcterms:W3CDTF">2019-06-04T21:56:14Z</dcterms:created>
  <dcterms:modified xsi:type="dcterms:W3CDTF">2019-07-12T00:49:12Z</dcterms:modified>
</cp:coreProperties>
</file>