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RJPA\Feasibility_AECOM\Work\Task 31_Value Planning\00 Appraisal Report\Roads\"/>
    </mc:Choice>
  </mc:AlternateContent>
  <xr:revisionPtr revIDLastSave="0" documentId="13_ncr:1_{A308FB52-50AC-4A1C-B9B7-9943A448D77B}" xr6:coauthVersionLast="41" xr6:coauthVersionMax="41" xr10:uidLastSave="{00000000-0000-0000-0000-000000000000}"/>
  <bookViews>
    <workbookView xWindow="-113" yWindow="-113" windowWidth="24267" windowHeight="14651" activeTab="1" xr2:uid="{F7FCB76F-D217-4C71-B48C-7D01B93E6A08}"/>
  </bookViews>
  <sheets>
    <sheet name="Sheet1" sheetId="1" r:id="rId1"/>
    <sheet name="Alts Summary" sheetId="3" r:id="rId2"/>
    <sheet name="Time of Travel" sheetId="2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0">Sheet1!$B$2:$I$24</definedName>
    <definedName name="_xlnm.Print_Area" localSheetId="2">'Time of Travel'!$B$1:$F$27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3" l="1"/>
  <c r="H11" i="3"/>
  <c r="F11" i="3"/>
  <c r="I10" i="3"/>
  <c r="H10" i="3"/>
  <c r="F10" i="3"/>
  <c r="I9" i="3"/>
  <c r="H9" i="3"/>
  <c r="F9" i="3"/>
  <c r="H8" i="3"/>
  <c r="I8" i="3"/>
  <c r="F8" i="3"/>
  <c r="C24" i="3" l="1"/>
  <c r="C21" i="3"/>
  <c r="C22" i="3"/>
  <c r="C23" i="3"/>
  <c r="C20" i="3"/>
  <c r="K15" i="1"/>
  <c r="D136" i="1"/>
  <c r="D137" i="1"/>
  <c r="C137" i="1"/>
  <c r="C136" i="1"/>
  <c r="G11" i="3"/>
  <c r="C25" i="3" l="1"/>
  <c r="G9" i="3" l="1"/>
  <c r="G8" i="3"/>
  <c r="Q27" i="3" l="1"/>
  <c r="Q26" i="3"/>
  <c r="Q25" i="3"/>
  <c r="B21" i="3" l="1"/>
  <c r="B22" i="3"/>
  <c r="B23" i="3"/>
  <c r="B20" i="3"/>
  <c r="F135" i="1"/>
  <c r="F134" i="1"/>
  <c r="D133" i="1"/>
  <c r="D134" i="1"/>
  <c r="D135" i="1"/>
  <c r="D132" i="1"/>
  <c r="E135" i="1"/>
  <c r="E134" i="1"/>
  <c r="C123" i="1" l="1"/>
  <c r="C122" i="1"/>
  <c r="C121" i="1"/>
  <c r="C120" i="1"/>
  <c r="Q10" i="3" l="1"/>
  <c r="Q7" i="3"/>
  <c r="K8" i="3" l="1"/>
  <c r="D11" i="3"/>
  <c r="C11" i="3"/>
  <c r="I7" i="3"/>
  <c r="D8" i="3"/>
  <c r="C8" i="3"/>
  <c r="B8" i="3"/>
  <c r="W18" i="3"/>
  <c r="W19" i="3"/>
  <c r="J7" i="3" s="1"/>
  <c r="H7" i="3" l="1"/>
  <c r="B12" i="3"/>
  <c r="C12" i="3"/>
  <c r="D12" i="3"/>
  <c r="Q9" i="3" s="1"/>
  <c r="Q12" i="3" s="1"/>
  <c r="Q13" i="3" s="1"/>
  <c r="Q15" i="3" s="1"/>
  <c r="B4" i="3"/>
  <c r="C4" i="3"/>
  <c r="E4" i="3"/>
  <c r="B7" i="3"/>
  <c r="C7" i="3"/>
  <c r="D7" i="3"/>
  <c r="B9" i="3"/>
  <c r="C9" i="3"/>
  <c r="D9" i="3"/>
  <c r="B10" i="3"/>
  <c r="B11" i="3" s="1"/>
  <c r="C10" i="3"/>
  <c r="D10" i="3"/>
  <c r="F7" i="3" l="1"/>
  <c r="K7" i="3" s="1"/>
  <c r="K9" i="3"/>
  <c r="M8" i="3"/>
  <c r="O8" i="3" s="1"/>
  <c r="M7" i="3" l="1"/>
  <c r="O7" i="3" s="1"/>
  <c r="O8" i="1" l="1"/>
  <c r="O9" i="1"/>
  <c r="O10" i="1"/>
  <c r="N11" i="1"/>
  <c r="N10" i="1"/>
  <c r="N9" i="1"/>
  <c r="N8" i="1"/>
  <c r="N7" i="1"/>
  <c r="I112" i="1"/>
  <c r="K115" i="1"/>
  <c r="J115" i="1"/>
  <c r="I120" i="1"/>
  <c r="M10" i="1"/>
  <c r="E11" i="2" l="1"/>
  <c r="F11" i="2"/>
  <c r="D11" i="2"/>
  <c r="C11" i="2"/>
  <c r="C12" i="2" s="1"/>
  <c r="F17" i="2"/>
  <c r="F22" i="2" s="1"/>
  <c r="F26" i="2" s="1"/>
  <c r="C16" i="2"/>
  <c r="C17" i="2" s="1"/>
  <c r="C22" i="2" s="1"/>
  <c r="C26" i="2" s="1"/>
  <c r="C27" i="2" s="1"/>
  <c r="E16" i="2"/>
  <c r="E17" i="2" s="1"/>
  <c r="E22" i="2" s="1"/>
  <c r="E26" i="2" s="1"/>
  <c r="D16" i="2"/>
  <c r="D17" i="2" s="1"/>
  <c r="D22" i="2" s="1"/>
  <c r="D26" i="2" s="1"/>
  <c r="E15" i="2"/>
  <c r="F15" i="2"/>
  <c r="D15" i="2"/>
  <c r="E13" i="2"/>
  <c r="F13" i="2"/>
  <c r="D13" i="2"/>
  <c r="F27" i="2" l="1"/>
  <c r="E27" i="2"/>
  <c r="D27" i="2"/>
  <c r="D7" i="2" l="1"/>
  <c r="C7" i="2"/>
  <c r="E7" i="2"/>
  <c r="D12" i="2" l="1"/>
  <c r="E12" i="2"/>
  <c r="F12" i="2"/>
  <c r="K60" i="1"/>
  <c r="K59" i="1"/>
  <c r="K58" i="1"/>
  <c r="G117" i="1" l="1"/>
  <c r="G116" i="1"/>
  <c r="H13" i="1" l="1"/>
  <c r="D13" i="1"/>
  <c r="F13" i="1"/>
  <c r="L128" i="1" l="1"/>
  <c r="L127" i="1"/>
  <c r="L126" i="1"/>
  <c r="I127" i="1"/>
  <c r="I128" i="1"/>
  <c r="I126" i="1"/>
  <c r="K52" i="1" l="1"/>
  <c r="D126" i="1" s="1"/>
  <c r="I115" i="1"/>
  <c r="F88" i="1"/>
  <c r="D120" i="1"/>
  <c r="D121" i="1" s="1"/>
  <c r="I108" i="1"/>
  <c r="I109" i="1" s="1"/>
  <c r="F109" i="1"/>
  <c r="G109" i="1" s="1"/>
  <c r="E109" i="1"/>
  <c r="E116" i="1"/>
  <c r="I121" i="1" s="1"/>
  <c r="E117" i="1"/>
  <c r="I122" i="1" s="1"/>
  <c r="E115" i="1"/>
  <c r="D12" i="1"/>
  <c r="D21" i="1" s="1"/>
  <c r="F12" i="1"/>
  <c r="F21" i="1" s="1"/>
  <c r="H12" i="1"/>
  <c r="H21" i="1" s="1"/>
  <c r="H12" i="3" s="1"/>
  <c r="E108" i="1"/>
  <c r="E107" i="1"/>
  <c r="L61" i="1"/>
  <c r="C127" i="1" l="1"/>
  <c r="O115" i="1"/>
  <c r="D128" i="1"/>
  <c r="D127" i="1"/>
  <c r="D129" i="1"/>
  <c r="E121" i="1"/>
  <c r="F116" i="1" s="1"/>
  <c r="D123" i="1"/>
  <c r="D122" i="1"/>
  <c r="H109" i="1"/>
  <c r="J112" i="1"/>
  <c r="F108" i="1"/>
  <c r="G108" i="1" s="1"/>
  <c r="H108" i="1" s="1"/>
  <c r="E127" i="1" l="1"/>
  <c r="J109" i="1"/>
  <c r="J108" i="1"/>
  <c r="F107" i="1"/>
  <c r="F127" i="1" l="1"/>
  <c r="K121" i="1" s="1"/>
  <c r="M121" i="1" s="1"/>
  <c r="L108" i="1"/>
  <c r="G107" i="1"/>
  <c r="H107" i="1" s="1"/>
  <c r="L115" i="1"/>
  <c r="M115" i="1" s="1"/>
  <c r="N115" i="1" s="1"/>
  <c r="P115" i="1" s="1"/>
  <c r="G127" i="1" l="1"/>
  <c r="E120" i="1"/>
  <c r="F115" i="1" s="1"/>
  <c r="C126" i="1"/>
  <c r="E126" i="1" s="1"/>
  <c r="F126" i="1" s="1"/>
  <c r="J107" i="1"/>
  <c r="H11" i="1"/>
  <c r="H10" i="1"/>
  <c r="F87" i="1"/>
  <c r="J87" i="1"/>
  <c r="J75" i="1"/>
  <c r="G126" i="1" l="1"/>
  <c r="K120" i="1"/>
  <c r="M120" i="1" s="1"/>
  <c r="L107" i="1"/>
  <c r="H18" i="1"/>
  <c r="I18" i="1" s="1"/>
  <c r="J65" i="1"/>
  <c r="J69" i="1" s="1"/>
  <c r="J60" i="1"/>
  <c r="J59" i="1"/>
  <c r="J58" i="1"/>
  <c r="H96" i="1"/>
  <c r="F60" i="1"/>
  <c r="F69" i="1" s="1"/>
  <c r="F59" i="1"/>
  <c r="F68" i="1" s="1"/>
  <c r="F58" i="1"/>
  <c r="F66" i="1" s="1"/>
  <c r="J68" i="1" l="1"/>
  <c r="J66" i="1"/>
  <c r="J61" i="1"/>
  <c r="M126" i="1" l="1"/>
  <c r="N126" i="1" s="1"/>
  <c r="I21" i="1" s="1"/>
  <c r="M61" i="1"/>
  <c r="M62" i="1" s="1"/>
  <c r="I111" i="1"/>
  <c r="J111" i="1" s="1"/>
  <c r="J70" i="1"/>
  <c r="K108" i="1" l="1"/>
  <c r="K107" i="1"/>
  <c r="M127" i="1"/>
  <c r="F19" i="1"/>
  <c r="G19" i="1" s="1"/>
  <c r="H19" i="1"/>
  <c r="I19" i="1" s="1"/>
  <c r="F85" i="1"/>
  <c r="J85" i="1" s="1"/>
  <c r="F86" i="1"/>
  <c r="J86" i="1" s="1"/>
  <c r="J88" i="1"/>
  <c r="M128" i="1" l="1"/>
  <c r="N128" i="1" s="1"/>
  <c r="E21" i="1" s="1"/>
  <c r="N127" i="1"/>
  <c r="G21" i="1" s="1"/>
  <c r="L88" i="1"/>
  <c r="L86" i="1"/>
  <c r="J89" i="1"/>
  <c r="L87" i="1" l="1"/>
  <c r="L85" i="1"/>
  <c r="J91" i="1"/>
  <c r="M91" i="1" s="1"/>
  <c r="M93" i="1" s="1"/>
  <c r="M94" i="1" s="1"/>
  <c r="J90" i="1"/>
  <c r="J92" i="1"/>
  <c r="AB10" i="1"/>
  <c r="E122" i="1" l="1"/>
  <c r="F117" i="1" s="1"/>
  <c r="C128" i="1"/>
  <c r="E128" i="1" s="1"/>
  <c r="L89" i="1"/>
  <c r="L92" i="1" s="1"/>
  <c r="D19" i="1"/>
  <c r="E19" i="1" s="1"/>
  <c r="F11" i="1"/>
  <c r="F18" i="1" s="1"/>
  <c r="G18" i="1" s="1"/>
  <c r="D11" i="1"/>
  <c r="D18" i="1" s="1"/>
  <c r="E18" i="1" s="1"/>
  <c r="J93" i="1"/>
  <c r="J94" i="1" s="1"/>
  <c r="J97" i="1" s="1"/>
  <c r="M98" i="1"/>
  <c r="M99" i="1"/>
  <c r="M96" i="1"/>
  <c r="M97" i="1"/>
  <c r="F10" i="1"/>
  <c r="D10" i="1"/>
  <c r="AE10" i="1"/>
  <c r="F128" i="1" l="1"/>
  <c r="K122" i="1" s="1"/>
  <c r="M122" i="1" s="1"/>
  <c r="L91" i="1"/>
  <c r="L90" i="1"/>
  <c r="J98" i="1"/>
  <c r="J99" i="1"/>
  <c r="J95" i="1"/>
  <c r="M95" i="1" s="1"/>
  <c r="M100" i="1" s="1"/>
  <c r="J96" i="1"/>
  <c r="G128" i="1" l="1"/>
  <c r="L93" i="1"/>
  <c r="L94" i="1" s="1"/>
  <c r="L95" i="1" s="1"/>
  <c r="M101" i="1"/>
  <c r="M102" i="1" s="1"/>
  <c r="M103" i="1" s="1"/>
  <c r="J100" i="1"/>
  <c r="J101" i="1" s="1"/>
  <c r="J102" i="1" s="1"/>
  <c r="J103" i="1" s="1"/>
  <c r="F17" i="1" l="1"/>
  <c r="H17" i="1"/>
  <c r="F12" i="3" s="1"/>
  <c r="D17" i="1"/>
  <c r="G17" i="1"/>
  <c r="G22" i="1" s="1"/>
  <c r="I17" i="1"/>
  <c r="I22" i="1" s="1"/>
  <c r="E17" i="1"/>
  <c r="E22" i="1" s="1"/>
  <c r="J126" i="1"/>
  <c r="J128" i="1"/>
  <c r="J127" i="1"/>
  <c r="J122" i="1"/>
  <c r="N122" i="1" s="1"/>
  <c r="D20" i="1" s="1"/>
  <c r="J121" i="1"/>
  <c r="N121" i="1" s="1"/>
  <c r="F20" i="1" s="1"/>
  <c r="J120" i="1"/>
  <c r="N120" i="1" s="1"/>
  <c r="H20" i="1" s="1"/>
  <c r="I12" i="3" s="1"/>
  <c r="K12" i="3" s="1"/>
  <c r="L97" i="1"/>
  <c r="L96" i="1"/>
  <c r="L99" i="1"/>
  <c r="L98" i="1"/>
  <c r="H22" i="1" l="1"/>
  <c r="H24" i="1" s="1"/>
  <c r="E24" i="1"/>
  <c r="G24" i="1"/>
  <c r="D22" i="1"/>
  <c r="F22" i="1"/>
  <c r="L100" i="1"/>
  <c r="L101" i="1" s="1"/>
  <c r="L102" i="1" s="1"/>
  <c r="L103" i="1" s="1"/>
  <c r="M12" i="3" l="1"/>
  <c r="O12" i="3" s="1"/>
  <c r="L9" i="3"/>
  <c r="M9" i="3" s="1"/>
  <c r="O9" i="3" s="1"/>
  <c r="D24" i="1"/>
  <c r="F24" i="1"/>
  <c r="K11" i="3" l="1"/>
  <c r="L11" i="3" s="1"/>
  <c r="M11" i="3" l="1"/>
  <c r="O11" i="3" s="1"/>
  <c r="C10" i="1"/>
  <c r="E123" i="1"/>
  <c r="C19" i="1"/>
  <c r="C129" i="1"/>
  <c r="E129" i="1" s="1"/>
  <c r="C11" i="1"/>
  <c r="C18" i="1" s="1"/>
  <c r="C17" i="1"/>
  <c r="K10" i="3" l="1"/>
  <c r="M10" i="3" s="1"/>
  <c r="O10" i="3" s="1"/>
  <c r="C22" i="1"/>
  <c r="I23" i="1" s="1"/>
  <c r="H23" i="1"/>
  <c r="F23" i="1"/>
  <c r="G23" i="1"/>
  <c r="D23" i="1"/>
  <c r="E23" i="1"/>
  <c r="C24" i="1"/>
  <c r="F129" i="1"/>
  <c r="G1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Michael, Howard</author>
  </authors>
  <commentList>
    <comment ref="C8" authorId="0" shapeId="0" xr:uid="{72877038-22F8-478D-B0A2-E4D911924B5E}">
      <text>
        <r>
          <rPr>
            <b/>
            <sz val="9"/>
            <color indexed="81"/>
            <rFont val="Tahoma"/>
            <family val="2"/>
          </rPr>
          <t>Michael, Howard:</t>
        </r>
        <r>
          <rPr>
            <sz val="9"/>
            <color indexed="81"/>
            <rFont val="Tahoma"/>
            <family val="2"/>
          </rPr>
          <t xml:space="preserve">
changed to be E/W alignment from N/S alignment (2/9/20)
</t>
        </r>
      </text>
    </comment>
    <comment ref="G115" authorId="0" shapeId="0" xr:uid="{2C8A54C0-2AED-43CD-BC1E-12C16D45FD4E}">
      <text>
        <r>
          <rPr>
            <b/>
            <sz val="9"/>
            <color indexed="81"/>
            <rFont val="Tahoma"/>
            <family val="2"/>
          </rPr>
          <t>Michael, Howard:</t>
        </r>
        <r>
          <rPr>
            <sz val="9"/>
            <color indexed="81"/>
            <rFont val="Tahoma"/>
            <family val="2"/>
          </rPr>
          <t xml:space="preserve">
from Vanessa's modeling
</t>
        </r>
      </text>
    </comment>
  </commentList>
</comments>
</file>

<file path=xl/sharedStrings.xml><?xml version="1.0" encoding="utf-8"?>
<sst xmlns="http://schemas.openxmlformats.org/spreadsheetml/2006/main" count="284" uniqueCount="224">
  <si>
    <t>/lf two-lane</t>
  </si>
  <si>
    <t>say 4 times</t>
  </si>
  <si>
    <t>GREEN</t>
  </si>
  <si>
    <t>BLUE</t>
  </si>
  <si>
    <t>Roadway cost</t>
  </si>
  <si>
    <t>Bridge cost</t>
  </si>
  <si>
    <t>Savings from Pink Alt</t>
  </si>
  <si>
    <t>Alternative</t>
  </si>
  <si>
    <t>Align. Length (mi)</t>
  </si>
  <si>
    <t>Roadway Unit Cost Development</t>
  </si>
  <si>
    <t>HMA</t>
  </si>
  <si>
    <t>AB</t>
  </si>
  <si>
    <t>Earthwork</t>
  </si>
  <si>
    <t>Roadbed Width (ft)</t>
  </si>
  <si>
    <t>HMA Thickness (ft)</t>
  </si>
  <si>
    <t>Base depth (ft)</t>
  </si>
  <si>
    <t>Item</t>
  </si>
  <si>
    <t>Unit</t>
  </si>
  <si>
    <t>Unit Cost</t>
  </si>
  <si>
    <t>SF</t>
  </si>
  <si>
    <t>C/F Vol. (CY)</t>
  </si>
  <si>
    <t>Unit Quantity</t>
  </si>
  <si>
    <t>Mobilization</t>
  </si>
  <si>
    <t>Suplemental Work</t>
  </si>
  <si>
    <t>Agency Furnished Materials &amp; Expenses</t>
  </si>
  <si>
    <t>Time Related OH</t>
  </si>
  <si>
    <t>Contingency</t>
  </si>
  <si>
    <t>per lf</t>
  </si>
  <si>
    <t>/lf two-lane w/o CG&amp;S</t>
  </si>
  <si>
    <t>Drainage</t>
  </si>
  <si>
    <t>Specialty Items</t>
  </si>
  <si>
    <t>Environmental</t>
  </si>
  <si>
    <t>Subtotal 1</t>
  </si>
  <si>
    <t>TOTAL ROADWAY</t>
  </si>
  <si>
    <t>Subtotal 3</t>
  </si>
  <si>
    <t>Subtotal 2</t>
  </si>
  <si>
    <t>Note: below are ratios from CT D4 TO 1</t>
  </si>
  <si>
    <t>Minor Items</t>
  </si>
  <si>
    <t>Bridge Unit Cost Development</t>
  </si>
  <si>
    <t>TOTAL ROADWAY UNIT COST</t>
  </si>
  <si>
    <t>TOTAL BRIDGE UNIT COST</t>
  </si>
  <si>
    <t>Based on Mosquito detailed segmental construction</t>
  </si>
  <si>
    <t>Plot Align. Length (in)</t>
  </si>
  <si>
    <t>Retaining walls cost</t>
  </si>
  <si>
    <t>Retaining Wall Unit Cost Development</t>
  </si>
  <si>
    <t>TOTAL 1 &amp; 2</t>
  </si>
  <si>
    <t>RW (assume ave height as unit quantity)</t>
  </si>
  <si>
    <t>N/A</t>
  </si>
  <si>
    <t>TON/lf</t>
  </si>
  <si>
    <t>CY/lf</t>
  </si>
  <si>
    <t>Item Unit Cost</t>
  </si>
  <si>
    <t>Roadway Parameters</t>
  </si>
  <si>
    <t>Unit Cost Development</t>
  </si>
  <si>
    <t>RETAINING WALL UNIT COST</t>
  </si>
  <si>
    <t xml:space="preserve"> % RW Length of Road Length Assumed =</t>
  </si>
  <si>
    <t>quick value for utilities as check against 2010 cost estimate</t>
  </si>
  <si>
    <t>ROW @ 60' wide (ac)</t>
  </si>
  <si>
    <t>ROW cost</t>
  </si>
  <si>
    <t>ACRE</t>
  </si>
  <si>
    <t>Right of Way Unit Cost Development</t>
  </si>
  <si>
    <t>Clear and Grub</t>
  </si>
  <si>
    <t>AC/lf</t>
  </si>
  <si>
    <t>Right of way width (ft)</t>
  </si>
  <si>
    <t>BLUE ALIGN</t>
  </si>
  <si>
    <t>TOP WIDTH</t>
  </si>
  <si>
    <t>BASE WIDTH</t>
  </si>
  <si>
    <t>AVE WIDTH</t>
  </si>
  <si>
    <t>$/CY</t>
  </si>
  <si>
    <t>COST plf</t>
  </si>
  <si>
    <t>bridge cross section</t>
  </si>
  <si>
    <t>$/sf</t>
  </si>
  <si>
    <t>WIDTH</t>
  </si>
  <si>
    <t>AVE HEIGHT</t>
  </si>
  <si>
    <t>ALTERNATIVE PLANNING-LEVEL CONSTRUCTION COST ESTIMATE ($M)</t>
  </si>
  <si>
    <t>Bridge + Fill</t>
  </si>
  <si>
    <t>Bridge Only</t>
  </si>
  <si>
    <t xml:space="preserve">Blue (Original bridge) (ft) = </t>
  </si>
  <si>
    <t xml:space="preserve">Yellow (Central) (ft) =  </t>
  </si>
  <si>
    <t xml:space="preserve">Green (south) (ft) = </t>
  </si>
  <si>
    <t xml:space="preserve">RESERVOIR CROSSING </t>
  </si>
  <si>
    <t>FILL PRISM XSECTION</t>
  </si>
  <si>
    <t>Green Align</t>
  </si>
  <si>
    <t>Blue Alignment</t>
  </si>
  <si>
    <t>Yellow Alignment</t>
  </si>
  <si>
    <t>Green Alignment</t>
  </si>
  <si>
    <t>Pink Alignment</t>
  </si>
  <si>
    <t>LENGTH (lf)</t>
  </si>
  <si>
    <t>EARTHWORK (sf/plf)</t>
  </si>
  <si>
    <t>TOT EARTHWORK (CY)</t>
  </si>
  <si>
    <t>% Fill for Bridge Approach</t>
  </si>
  <si>
    <t>VOL (cy/lf)</t>
  </si>
  <si>
    <t>TOT LENGTH (ft)</t>
  </si>
  <si>
    <t>BRIDGE LENGTH (ft)</t>
  </si>
  <si>
    <t>FILL LENGTH (ft)</t>
  </si>
  <si>
    <t>TOT APPROACH FILL (cy)</t>
  </si>
  <si>
    <t>Blue Align</t>
  </si>
  <si>
    <t>Yellow Align</t>
  </si>
  <si>
    <t>MAX HEIGHT</t>
  </si>
  <si>
    <t>top w (ft)</t>
  </si>
  <si>
    <t>Max Ht (ft)</t>
  </si>
  <si>
    <t>bot w (ft)</t>
  </si>
  <si>
    <t>Ave w (ft)</t>
  </si>
  <si>
    <t>Max Area (sf)</t>
  </si>
  <si>
    <t>Ave Area (sf)</t>
  </si>
  <si>
    <t>Length (ft)</t>
  </si>
  <si>
    <t>Vol (cy)</t>
  </si>
  <si>
    <t>check</t>
  </si>
  <si>
    <t>Ave cut = 42' H &amp; 42' V w/ 2:1 slope and OG connects the daylight points.  Cut A =</t>
  </si>
  <si>
    <t>sf</t>
  </si>
  <si>
    <t>Used this value for alignment cost estimate --&gt;</t>
  </si>
  <si>
    <t>Ave C/F = 20' V &amp; 40' H w/ 2:1 slope and OG connects the daylight points.  C/F A =</t>
  </si>
  <si>
    <t>Could generate more material for bridge approach --&gt;</t>
  </si>
  <si>
    <t>Assume 65% cut alignment &amp; 65% of cut applied to bridge approch.</t>
  </si>
  <si>
    <t>EARTHWORK QUANT. SCENARIO 1</t>
  </si>
  <si>
    <t>EARTHWORK QUANT. SCENARIO 2</t>
  </si>
  <si>
    <t>SAMPLE ROADWAY CUT/FILL - SCENARIO 1</t>
  </si>
  <si>
    <t>SAMPLE ROADWAY CUT AREA - SCENARIO 2</t>
  </si>
  <si>
    <t>60% for bridge approach fill</t>
  </si>
  <si>
    <t>40% for roadway embank</t>
  </si>
  <si>
    <t>similar values</t>
  </si>
  <si>
    <t>BRIDGE APPROACH ROADWAY LENGTH (ft)</t>
  </si>
  <si>
    <t>ROADBED COST</t>
  </si>
  <si>
    <t>Feature Xing Reservoir</t>
  </si>
  <si>
    <t>APPROACH FILL (cy)</t>
  </si>
  <si>
    <t>FILL PRISM UNIT COST ($/cy)</t>
  </si>
  <si>
    <t>BRIDGE APPROACH FILL COST</t>
  </si>
  <si>
    <t>TOTAL BRIDGE APPROACH ROADWAY COST</t>
  </si>
  <si>
    <t>TOTAL OFFSET COST</t>
  </si>
  <si>
    <t>FULL LENGTH BRIDGE COST</t>
  </si>
  <si>
    <t>OFFSET ROADBED FOR BRIDGE LENGTH (ft)</t>
  </si>
  <si>
    <t>FULL LENGTH BRIDGE (ft)</t>
  </si>
  <si>
    <t>BRIDGE UNIT COST ($/lf)</t>
  </si>
  <si>
    <t>Savings from Orig S. Brg</t>
  </si>
  <si>
    <t>$12/cy for fill prism</t>
  </si>
  <si>
    <t>Bridge length (ft) w/o fill</t>
  </si>
  <si>
    <t>Bridge length (ft) w/ fill</t>
  </si>
  <si>
    <t>Possible Savings</t>
  </si>
  <si>
    <t>vs Segment.</t>
  </si>
  <si>
    <t>vs. Trad. CIP</t>
  </si>
  <si>
    <t>orginal fill volumes from back of the napkin</t>
  </si>
  <si>
    <t>Segmental Item Unit Cost</t>
  </si>
  <si>
    <t>Traditional Item Unit Cost</t>
  </si>
  <si>
    <t>Bridge approach fill cost</t>
  </si>
  <si>
    <t>TOTAL ALT COST</t>
  </si>
  <si>
    <t>PINK</t>
  </si>
  <si>
    <t>D - PINK</t>
  </si>
  <si>
    <t>C - GREEN</t>
  </si>
  <si>
    <t>B - ORANGE</t>
  </si>
  <si>
    <t>A - BLUE</t>
  </si>
  <si>
    <t>Time of Travel (min)</t>
  </si>
  <si>
    <t>Relative length</t>
  </si>
  <si>
    <t>ACAD measure for check</t>
  </si>
  <si>
    <t>Relative length for check</t>
  </si>
  <si>
    <t>GRAPEVINE CREEK TO COLUSA CANAL</t>
  </si>
  <si>
    <t xml:space="preserve">Change in length </t>
  </si>
  <si>
    <t>SQUAW CREEK TO COLUSA CANAL</t>
  </si>
  <si>
    <t>SITES RESERVOIR</t>
  </si>
  <si>
    <t>CONCEPT ROADWAY ALTERNATIVES GENERAL TIME OF TRAVEL</t>
  </si>
  <si>
    <t>Relative Time Travel * (min)</t>
  </si>
  <si>
    <t>* Say Alt. 'A' is 10 to 20 min faster</t>
  </si>
  <si>
    <t>Assumed Ave Travel Speed (mph)</t>
  </si>
  <si>
    <t>USE THIS DATA FOR ALTS ANALYSIS AND COMPARISON</t>
  </si>
  <si>
    <t>* Say Alt. 'A' is 10 to 15 min faster</t>
  </si>
  <si>
    <t>RESERVOIR DATA</t>
  </si>
  <si>
    <t>Reservoir Alternative</t>
  </si>
  <si>
    <t>Alt 7</t>
  </si>
  <si>
    <t>Alt 8</t>
  </si>
  <si>
    <t>Alt 9</t>
  </si>
  <si>
    <t>MAF</t>
  </si>
  <si>
    <t>Storage WSE</t>
  </si>
  <si>
    <t>Alt ?</t>
  </si>
  <si>
    <t>Wrong calc. Why determine?</t>
  </si>
  <si>
    <t>CHANGE THE PEECH SHADED CELLS</t>
  </si>
  <si>
    <t>This was hard-set to $500 during proposal/interview</t>
  </si>
  <si>
    <t>Change in WSE</t>
  </si>
  <si>
    <t>Road</t>
  </si>
  <si>
    <t>Bridge</t>
  </si>
  <si>
    <t>Tunnel</t>
  </si>
  <si>
    <t>Fill</t>
  </si>
  <si>
    <t>Reservoir Crossing</t>
  </si>
  <si>
    <r>
      <t xml:space="preserve">Max Flood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 xml:space="preserve"> in WSE + Wave Ht. (10') = Road HP Elev.</t>
    </r>
  </si>
  <si>
    <r>
      <t xml:space="preserve">Max Flood 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 xml:space="preserve"> in WSE + Wave Ht. (ft') =</t>
    </r>
  </si>
  <si>
    <t>= Roadway Hinge Point Elevation</t>
  </si>
  <si>
    <t>Tunnel Option</t>
  </si>
  <si>
    <t>Tunnel Cost =</t>
  </si>
  <si>
    <t>plf</t>
  </si>
  <si>
    <t>Length</t>
  </si>
  <si>
    <t>Phase 2
(to 1.8 MAF)</t>
  </si>
  <si>
    <t>Not Phasable</t>
  </si>
  <si>
    <t>Phase 1 Total</t>
  </si>
  <si>
    <t>Total Phase 1 &amp; 2</t>
  </si>
  <si>
    <t>NA</t>
  </si>
  <si>
    <t>Maintenance</t>
  </si>
  <si>
    <t>Total Blue Alternative</t>
  </si>
  <si>
    <t>Pink Alternative</t>
  </si>
  <si>
    <t>Orange</t>
  </si>
  <si>
    <t>ALTERNATIVE PARAMETERS - RESERVOIR CROSSING @ EL 430</t>
  </si>
  <si>
    <t>bridge length</t>
  </si>
  <si>
    <t>added bridge length</t>
  </si>
  <si>
    <t>bridge width</t>
  </si>
  <si>
    <t>S/SF</t>
  </si>
  <si>
    <t>Pink Alignment Segements</t>
  </si>
  <si>
    <t>Road Segment</t>
  </si>
  <si>
    <t>Construction Cost Est. ($M)</t>
  </si>
  <si>
    <t>Segment Length (mi)</t>
  </si>
  <si>
    <t>Total Cost of Seg. 1, 2, &amp; 4</t>
  </si>
  <si>
    <t>Item Con. Cost</t>
  </si>
  <si>
    <t>Reduction in roadway due to tunnel =</t>
  </si>
  <si>
    <t>Maintenance Costs</t>
  </si>
  <si>
    <t>per lane mile</t>
  </si>
  <si>
    <t>Roadway</t>
  </si>
  <si>
    <t>Blue Alternative - Planning-Level Construction Cost Estimate ($M)</t>
  </si>
  <si>
    <t>Reservoir Data</t>
  </si>
  <si>
    <t>South Bridge (full-length) Estimate</t>
  </si>
  <si>
    <t>bridge width (ft)</t>
  </si>
  <si>
    <t>bridge length (ft)</t>
  </si>
  <si>
    <t>bridge area (sf)</t>
  </si>
  <si>
    <t>bridge $/sf</t>
  </si>
  <si>
    <t>Cost</t>
  </si>
  <si>
    <t>L (ft)</t>
  </si>
  <si>
    <t>Total Cost of Seg. 1, 2, &amp; 3</t>
  </si>
  <si>
    <t>1,2,4</t>
  </si>
  <si>
    <t>1,2,3</t>
  </si>
  <si>
    <t>purple bold values are escalated values to compare to very escalated bridge estimate (two cells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</si>
</sst>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_);_(* \(#,##0.0\);_(* &quot;-&quot;??_);_(@_)"/>
    <numFmt numFmtId="167" formatCode="0.0%"/>
    <numFmt numFmtId="168" formatCode="&quot;$&quot;#,##0.00"/>
    <numFmt numFmtId="169" formatCode="_(&quot;$&quot;* #,##0_);_(&quot;$&quot;* \(#,##0\);_(&quot;$&quot;* &quot;-&quot;??_);_(@_)"/>
    <numFmt numFmtId="170" formatCode="&quot;$&quot;#,##0"/>
    <numFmt numFmtId="171" formatCode="&quot;$&quot;#,##0.0_);[Red]\(&quot;$&quot;#,##0.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theme="1"/>
      <name val="Symbol"/>
      <family val="1"/>
      <charset val="2"/>
    </font>
    <font>
      <b/>
      <sz val="11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4">
    <xf numFmtId="0" fontId="0" fillId="0" borderId="0" xfId="0"/>
    <xf numFmtId="6" fontId="0" fillId="0" borderId="0" xfId="0" applyNumberFormat="1"/>
    <xf numFmtId="8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2" applyFont="1"/>
    <xf numFmtId="9" fontId="0" fillId="0" borderId="0" xfId="0" applyNumberFormat="1"/>
    <xf numFmtId="8" fontId="0" fillId="0" borderId="1" xfId="0" applyNumberFormat="1" applyBorder="1"/>
    <xf numFmtId="0" fontId="4" fillId="0" borderId="0" xfId="0" applyFont="1" applyAlignment="1">
      <alignment horizontal="right"/>
    </xf>
    <xf numFmtId="0" fontId="5" fillId="0" borderId="0" xfId="0" applyFont="1"/>
    <xf numFmtId="8" fontId="5" fillId="0" borderId="0" xfId="0" applyNumberFormat="1" applyFont="1"/>
    <xf numFmtId="8" fontId="4" fillId="0" borderId="0" xfId="0" applyNumberFormat="1" applyFont="1"/>
    <xf numFmtId="6" fontId="3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/>
    <xf numFmtId="6" fontId="6" fillId="0" borderId="0" xfId="0" applyNumberFormat="1" applyFont="1"/>
    <xf numFmtId="8" fontId="4" fillId="0" borderId="3" xfId="0" applyNumberFormat="1" applyFont="1" applyBorder="1"/>
    <xf numFmtId="6" fontId="4" fillId="0" borderId="2" xfId="0" applyNumberFormat="1" applyFont="1" applyBorder="1"/>
    <xf numFmtId="0" fontId="2" fillId="0" borderId="0" xfId="0" applyFont="1"/>
    <xf numFmtId="9" fontId="0" fillId="0" borderId="0" xfId="0" applyNumberFormat="1" applyAlignment="1">
      <alignment horizontal="right"/>
    </xf>
    <xf numFmtId="0" fontId="9" fillId="0" borderId="0" xfId="0" applyFont="1"/>
    <xf numFmtId="6" fontId="9" fillId="0" borderId="0" xfId="0" applyNumberFormat="1" applyFont="1"/>
    <xf numFmtId="6" fontId="9" fillId="0" borderId="0" xfId="0" applyNumberFormat="1" applyFont="1" applyBorder="1"/>
    <xf numFmtId="10" fontId="9" fillId="0" borderId="0" xfId="0" applyNumberFormat="1" applyFont="1"/>
    <xf numFmtId="9" fontId="9" fillId="0" borderId="0" xfId="2" applyFont="1"/>
    <xf numFmtId="9" fontId="9" fillId="0" borderId="0" xfId="0" applyNumberFormat="1" applyFont="1"/>
    <xf numFmtId="8" fontId="9" fillId="0" borderId="0" xfId="0" applyNumberFormat="1" applyFont="1"/>
    <xf numFmtId="9" fontId="10" fillId="0" borderId="0" xfId="0" applyNumberFormat="1" applyFont="1"/>
    <xf numFmtId="0" fontId="0" fillId="0" borderId="0" xfId="0" applyAlignment="1">
      <alignment horizontal="left"/>
    </xf>
    <xf numFmtId="0" fontId="3" fillId="0" borderId="4" xfId="0" applyFont="1" applyBorder="1"/>
    <xf numFmtId="164" fontId="0" fillId="0" borderId="4" xfId="1" applyNumberFormat="1" applyFont="1" applyBorder="1"/>
    <xf numFmtId="0" fontId="3" fillId="0" borderId="0" xfId="0" applyFont="1" applyBorder="1"/>
    <xf numFmtId="0" fontId="3" fillId="0" borderId="6" xfId="0" applyFont="1" applyBorder="1"/>
    <xf numFmtId="0" fontId="12" fillId="0" borderId="0" xfId="0" applyFont="1"/>
    <xf numFmtId="0" fontId="0" fillId="0" borderId="0" xfId="0" applyFont="1"/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9" fontId="0" fillId="0" borderId="0" xfId="2" applyFont="1" applyAlignment="1">
      <alignment horizontal="left"/>
    </xf>
    <xf numFmtId="164" fontId="2" fillId="0" borderId="0" xfId="1" applyNumberFormat="1" applyFont="1"/>
    <xf numFmtId="164" fontId="13" fillId="0" borderId="3" xfId="1" applyNumberFormat="1" applyFont="1" applyBorder="1"/>
    <xf numFmtId="164" fontId="13" fillId="0" borderId="2" xfId="1" applyNumberFormat="1" applyFont="1" applyBorder="1"/>
    <xf numFmtId="6" fontId="13" fillId="0" borderId="0" xfId="0" applyNumberFormat="1" applyFont="1"/>
    <xf numFmtId="0" fontId="0" fillId="0" borderId="0" xfId="0" applyBorder="1" applyAlignment="1">
      <alignment horizontal="center"/>
    </xf>
    <xf numFmtId="6" fontId="0" fillId="0" borderId="0" xfId="0" applyNumberFormat="1" applyBorder="1"/>
    <xf numFmtId="6" fontId="5" fillId="0" borderId="0" xfId="0" applyNumberFormat="1" applyFont="1"/>
    <xf numFmtId="6" fontId="4" fillId="0" borderId="0" xfId="0" applyNumberFormat="1" applyFont="1"/>
    <xf numFmtId="6" fontId="4" fillId="0" borderId="3" xfId="0" applyNumberFormat="1" applyFont="1" applyBorder="1"/>
    <xf numFmtId="0" fontId="3" fillId="0" borderId="4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3" fillId="0" borderId="5" xfId="0" applyFont="1" applyFill="1" applyBorder="1"/>
    <xf numFmtId="0" fontId="3" fillId="2" borderId="4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11" fillId="0" borderId="4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6" fontId="0" fillId="0" borderId="4" xfId="0" applyNumberFormat="1" applyFill="1" applyBorder="1" applyAlignment="1">
      <alignment horizontal="center"/>
    </xf>
    <xf numFmtId="6" fontId="2" fillId="0" borderId="0" xfId="0" applyNumberFormat="1" applyFont="1" applyBorder="1"/>
    <xf numFmtId="0" fontId="0" fillId="0" borderId="0" xfId="0" applyAlignment="1">
      <alignment vertical="center"/>
    </xf>
    <xf numFmtId="3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1" applyNumberFormat="1" applyFont="1"/>
    <xf numFmtId="0" fontId="0" fillId="0" borderId="0" xfId="0" applyAlignment="1">
      <alignment horizontal="center" wrapText="1"/>
    </xf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6" fontId="0" fillId="0" borderId="5" xfId="0" applyNumberFormat="1" applyFill="1" applyBorder="1" applyAlignment="1">
      <alignment horizontal="center"/>
    </xf>
    <xf numFmtId="6" fontId="0" fillId="0" borderId="6" xfId="0" applyNumberFormat="1" applyBorder="1" applyAlignment="1">
      <alignment horizontal="center"/>
    </xf>
    <xf numFmtId="6" fontId="0" fillId="0" borderId="4" xfId="0" applyNumberFormat="1" applyBorder="1" applyAlignment="1">
      <alignment horizontal="center"/>
    </xf>
    <xf numFmtId="6" fontId="0" fillId="0" borderId="11" xfId="0" applyNumberFormat="1" applyFill="1" applyBorder="1" applyAlignment="1">
      <alignment horizontal="center"/>
    </xf>
    <xf numFmtId="6" fontId="0" fillId="0" borderId="8" xfId="0" applyNumberFormat="1" applyFill="1" applyBorder="1" applyAlignment="1">
      <alignment horizontal="center"/>
    </xf>
    <xf numFmtId="8" fontId="0" fillId="0" borderId="8" xfId="0" applyNumberFormat="1" applyFill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164" fontId="0" fillId="0" borderId="12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9" xfId="0" applyBorder="1" applyAlignment="1">
      <alignment horizontal="center" wrapText="1"/>
    </xf>
    <xf numFmtId="164" fontId="0" fillId="0" borderId="12" xfId="0" applyNumberFormat="1" applyBorder="1"/>
    <xf numFmtId="164" fontId="0" fillId="0" borderId="6" xfId="0" applyNumberFormat="1" applyBorder="1"/>
    <xf numFmtId="0" fontId="0" fillId="0" borderId="0" xfId="0" applyAlignment="1">
      <alignment horizontal="right" vertical="center"/>
    </xf>
    <xf numFmtId="0" fontId="14" fillId="0" borderId="4" xfId="0" applyFont="1" applyFill="1" applyBorder="1" applyAlignment="1">
      <alignment horizontal="center"/>
    </xf>
    <xf numFmtId="6" fontId="0" fillId="0" borderId="0" xfId="0" applyNumberForma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6" fontId="16" fillId="0" borderId="0" xfId="0" applyNumberFormat="1" applyFont="1"/>
    <xf numFmtId="8" fontId="0" fillId="0" borderId="4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5" borderId="0" xfId="0" applyNumberFormat="1" applyFill="1"/>
    <xf numFmtId="0" fontId="9" fillId="6" borderId="0" xfId="0" applyFont="1" applyFill="1"/>
    <xf numFmtId="10" fontId="9" fillId="6" borderId="0" xfId="0" applyNumberFormat="1" applyFont="1" applyFill="1"/>
    <xf numFmtId="9" fontId="9" fillId="6" borderId="0" xfId="2" applyFont="1" applyFill="1"/>
    <xf numFmtId="9" fontId="9" fillId="6" borderId="0" xfId="0" applyNumberFormat="1" applyFont="1" applyFill="1"/>
    <xf numFmtId="9" fontId="10" fillId="6" borderId="0" xfId="0" applyNumberFormat="1" applyFont="1" applyFill="1"/>
    <xf numFmtId="6" fontId="2" fillId="6" borderId="0" xfId="0" applyNumberFormat="1" applyFont="1" applyFill="1" applyAlignment="1">
      <alignment horizontal="center" vertical="center"/>
    </xf>
    <xf numFmtId="164" fontId="0" fillId="6" borderId="0" xfId="1" applyNumberFormat="1" applyFont="1" applyFill="1"/>
    <xf numFmtId="0" fontId="0" fillId="0" borderId="10" xfId="0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9" xfId="0" applyFont="1" applyFill="1" applyBorder="1"/>
    <xf numFmtId="6" fontId="0" fillId="0" borderId="9" xfId="0" applyNumberFormat="1" applyFill="1" applyBorder="1" applyAlignment="1">
      <alignment horizontal="center"/>
    </xf>
    <xf numFmtId="6" fontId="0" fillId="0" borderId="16" xfId="0" applyNumberFormat="1" applyFill="1" applyBorder="1" applyAlignment="1">
      <alignment horizontal="center"/>
    </xf>
    <xf numFmtId="6" fontId="0" fillId="0" borderId="0" xfId="0" applyNumberFormat="1" applyBorder="1" applyAlignment="1">
      <alignment horizontal="center"/>
    </xf>
    <xf numFmtId="6" fontId="0" fillId="7" borderId="9" xfId="0" applyNumberFormat="1" applyFill="1" applyBorder="1" applyAlignment="1">
      <alignment horizontal="center"/>
    </xf>
    <xf numFmtId="0" fontId="19" fillId="8" borderId="14" xfId="0" applyFont="1" applyFill="1" applyBorder="1"/>
    <xf numFmtId="6" fontId="19" fillId="8" borderId="14" xfId="0" applyNumberFormat="1" applyFont="1" applyFill="1" applyBorder="1" applyAlignment="1">
      <alignment horizontal="center"/>
    </xf>
    <xf numFmtId="6" fontId="19" fillId="8" borderId="15" xfId="0" applyNumberFormat="1" applyFont="1" applyFill="1" applyBorder="1" applyAlignment="1">
      <alignment horizontal="center"/>
    </xf>
    <xf numFmtId="6" fontId="0" fillId="0" borderId="13" xfId="0" applyNumberFormat="1" applyFill="1" applyBorder="1" applyAlignment="1">
      <alignment horizontal="center"/>
    </xf>
    <xf numFmtId="6" fontId="0" fillId="0" borderId="6" xfId="0" applyNumberFormat="1" applyFill="1" applyBorder="1" applyAlignment="1">
      <alignment horizontal="center"/>
    </xf>
    <xf numFmtId="6" fontId="0" fillId="9" borderId="4" xfId="0" applyNumberFormat="1" applyFill="1" applyBorder="1" applyAlignment="1">
      <alignment horizontal="center"/>
    </xf>
    <xf numFmtId="6" fontId="0" fillId="9" borderId="6" xfId="0" applyNumberForma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6" fontId="0" fillId="0" borderId="4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right"/>
    </xf>
    <xf numFmtId="10" fontId="0" fillId="0" borderId="0" xfId="2" applyNumberFormat="1" applyFont="1"/>
    <xf numFmtId="164" fontId="0" fillId="3" borderId="4" xfId="0" applyNumberFormat="1" applyFont="1" applyFill="1" applyBorder="1" applyAlignment="1">
      <alignment horizontal="righ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left" indent="1"/>
    </xf>
    <xf numFmtId="0" fontId="0" fillId="0" borderId="0" xfId="0" applyAlignment="1">
      <alignment horizontal="center"/>
    </xf>
    <xf numFmtId="0" fontId="13" fillId="0" borderId="0" xfId="0" applyFont="1"/>
    <xf numFmtId="166" fontId="21" fillId="0" borderId="4" xfId="1" applyNumberFormat="1" applyFont="1" applyBorder="1"/>
    <xf numFmtId="165" fontId="0" fillId="0" borderId="0" xfId="0" applyNumberFormat="1"/>
    <xf numFmtId="165" fontId="0" fillId="0" borderId="0" xfId="0" applyNumberFormat="1" applyAlignment="1">
      <alignment horizontal="left"/>
    </xf>
    <xf numFmtId="164" fontId="0" fillId="10" borderId="0" xfId="1" applyNumberFormat="1" applyFont="1" applyFill="1" applyAlignment="1">
      <alignment horizontal="center"/>
    </xf>
    <xf numFmtId="0" fontId="2" fillId="10" borderId="0" xfId="0" applyFont="1" applyFill="1"/>
    <xf numFmtId="0" fontId="3" fillId="7" borderId="0" xfId="0" applyFont="1" applyFill="1" applyAlignment="1">
      <alignment vertical="center" wrapText="1"/>
    </xf>
    <xf numFmtId="0" fontId="3" fillId="5" borderId="10" xfId="0" applyFont="1" applyFill="1" applyBorder="1" applyAlignment="1">
      <alignment horizontal="center" wrapText="1"/>
    </xf>
    <xf numFmtId="167" fontId="0" fillId="5" borderId="0" xfId="2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11" borderId="0" xfId="0" applyFill="1"/>
    <xf numFmtId="0" fontId="3" fillId="11" borderId="0" xfId="0" applyFont="1" applyFill="1" applyAlignment="1">
      <alignment horizontal="center"/>
    </xf>
    <xf numFmtId="0" fontId="9" fillId="11" borderId="0" xfId="0" applyFont="1" applyFill="1" applyAlignment="1">
      <alignment horizontal="center"/>
    </xf>
    <xf numFmtId="0" fontId="3" fillId="11" borderId="0" xfId="0" applyFont="1" applyFill="1" applyAlignment="1">
      <alignment horizontal="center" wrapText="1"/>
    </xf>
    <xf numFmtId="3" fontId="0" fillId="11" borderId="0" xfId="0" applyNumberFormat="1" applyFill="1" applyAlignment="1">
      <alignment horizontal="center"/>
    </xf>
    <xf numFmtId="0" fontId="3" fillId="11" borderId="10" xfId="0" applyFont="1" applyFill="1" applyBorder="1" applyAlignment="1">
      <alignment horizontal="center" wrapText="1"/>
    </xf>
    <xf numFmtId="168" fontId="0" fillId="11" borderId="0" xfId="3" applyNumberFormat="1" applyFont="1" applyFill="1" applyAlignment="1">
      <alignment horizontal="center"/>
    </xf>
    <xf numFmtId="168" fontId="2" fillId="11" borderId="0" xfId="3" applyNumberFormat="1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3" fontId="0" fillId="0" borderId="0" xfId="0" applyNumberFormat="1" applyFill="1" applyAlignment="1">
      <alignment horizontal="center"/>
    </xf>
    <xf numFmtId="0" fontId="3" fillId="0" borderId="0" xfId="0" applyFont="1" applyFill="1" applyAlignment="1">
      <alignment horizontal="center"/>
    </xf>
    <xf numFmtId="9" fontId="0" fillId="0" borderId="0" xfId="2" applyFont="1" applyFill="1" applyAlignment="1">
      <alignment horizontal="center"/>
    </xf>
    <xf numFmtId="6" fontId="0" fillId="7" borderId="0" xfId="0" applyNumberFormat="1" applyFill="1" applyAlignment="1">
      <alignment horizontal="center" vertical="center"/>
    </xf>
    <xf numFmtId="0" fontId="0" fillId="7" borderId="0" xfId="0" applyFill="1"/>
    <xf numFmtId="0" fontId="2" fillId="7" borderId="0" xfId="0" applyFont="1" applyFill="1" applyAlignment="1">
      <alignment horizontal="left"/>
    </xf>
    <xf numFmtId="164" fontId="2" fillId="0" borderId="4" xfId="1" applyNumberFormat="1" applyFont="1" applyBorder="1"/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9" fontId="0" fillId="0" borderId="0" xfId="3" applyNumberFormat="1" applyFont="1"/>
    <xf numFmtId="1" fontId="0" fillId="0" borderId="4" xfId="0" applyNumberFormat="1" applyBorder="1" applyAlignment="1">
      <alignment horizontal="center"/>
    </xf>
    <xf numFmtId="6" fontId="0" fillId="0" borderId="7" xfId="0" applyNumberFormat="1" applyBorder="1" applyAlignment="1">
      <alignment horizontal="center"/>
    </xf>
    <xf numFmtId="6" fontId="0" fillId="0" borderId="8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6" fontId="0" fillId="0" borderId="19" xfId="0" applyNumberFormat="1" applyBorder="1" applyAlignment="1">
      <alignment horizontal="center"/>
    </xf>
    <xf numFmtId="170" fontId="0" fillId="0" borderId="4" xfId="3" applyNumberFormat="1" applyFont="1" applyBorder="1" applyAlignment="1">
      <alignment horizontal="center"/>
    </xf>
    <xf numFmtId="170" fontId="0" fillId="0" borderId="0" xfId="0" applyNumberFormat="1"/>
    <xf numFmtId="167" fontId="0" fillId="0" borderId="0" xfId="2" applyNumberFormat="1" applyFont="1"/>
    <xf numFmtId="165" fontId="0" fillId="0" borderId="4" xfId="0" applyNumberFormat="1" applyBorder="1" applyAlignment="1">
      <alignment horizontal="center"/>
    </xf>
    <xf numFmtId="0" fontId="0" fillId="0" borderId="4" xfId="0" applyBorder="1"/>
    <xf numFmtId="171" fontId="0" fillId="0" borderId="4" xfId="0" applyNumberFormat="1" applyBorder="1" applyAlignment="1">
      <alignment horizontal="center"/>
    </xf>
    <xf numFmtId="169" fontId="0" fillId="0" borderId="0" xfId="0" applyNumberFormat="1" applyAlignment="1"/>
    <xf numFmtId="0" fontId="0" fillId="0" borderId="4" xfId="0" applyFont="1" applyBorder="1" applyAlignment="1">
      <alignment horizontal="center" vertical="center"/>
    </xf>
    <xf numFmtId="168" fontId="0" fillId="0" borderId="0" xfId="3" applyNumberFormat="1" applyFont="1"/>
    <xf numFmtId="0" fontId="3" fillId="0" borderId="4" xfId="0" applyFont="1" applyBorder="1" applyAlignment="1">
      <alignment horizontal="center" vertical="center"/>
    </xf>
    <xf numFmtId="168" fontId="0" fillId="0" borderId="0" xfId="0" applyNumberFormat="1"/>
    <xf numFmtId="6" fontId="24" fillId="0" borderId="0" xfId="0" applyNumberFormat="1" applyFont="1"/>
    <xf numFmtId="168" fontId="24" fillId="6" borderId="0" xfId="3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4" fontId="20" fillId="0" borderId="0" xfId="0" applyNumberFormat="1" applyFont="1" applyAlignment="1">
      <alignment horizontal="center"/>
    </xf>
    <xf numFmtId="164" fontId="0" fillId="0" borderId="4" xfId="1" applyNumberFormat="1" applyFont="1" applyBorder="1" applyAlignment="1"/>
    <xf numFmtId="166" fontId="0" fillId="0" borderId="4" xfId="1" applyNumberFormat="1" applyFont="1" applyBorder="1" applyAlignment="1"/>
    <xf numFmtId="0" fontId="11" fillId="0" borderId="4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8" xfId="0" quotePrefix="1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9900"/>
      <color rgb="FFCCCCFF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microsoft.com/office/2017/10/relationships/person" Target="persons/perso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26</xdr:row>
      <xdr:rowOff>60961</xdr:rowOff>
    </xdr:from>
    <xdr:to>
      <xdr:col>5</xdr:col>
      <xdr:colOff>595087</xdr:colOff>
      <xdr:row>36</xdr:row>
      <xdr:rowOff>136344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51497CB-7474-4B09-B7DD-D5163AFB6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4001590"/>
          <a:ext cx="5000416" cy="1920240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108855</xdr:colOff>
      <xdr:row>39</xdr:row>
      <xdr:rowOff>87085</xdr:rowOff>
    </xdr:from>
    <xdr:to>
      <xdr:col>6</xdr:col>
      <xdr:colOff>511020</xdr:colOff>
      <xdr:row>50</xdr:row>
      <xdr:rowOff>2883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CE39EC-F1D7-4616-A84C-AB50809C2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855" y="6433456"/>
          <a:ext cx="5748581" cy="1959048"/>
        </a:xfrm>
        <a:prstGeom prst="rect">
          <a:avLst/>
        </a:prstGeom>
      </xdr:spPr>
    </xdr:pic>
    <xdr:clientData/>
  </xdr:twoCellAnchor>
  <xdr:twoCellAnchor editAs="oneCell">
    <xdr:from>
      <xdr:col>12</xdr:col>
      <xdr:colOff>849087</xdr:colOff>
      <xdr:row>78</xdr:row>
      <xdr:rowOff>32658</xdr:rowOff>
    </xdr:from>
    <xdr:to>
      <xdr:col>18</xdr:col>
      <xdr:colOff>475613</xdr:colOff>
      <xdr:row>88</xdr:row>
      <xdr:rowOff>150802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392613-007D-4E6D-90DB-B422B5A62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39401" y="14194972"/>
          <a:ext cx="5649686" cy="1968716"/>
        </a:xfrm>
        <a:prstGeom prst="rect">
          <a:avLst/>
        </a:prstGeom>
      </xdr:spPr>
    </xdr:pic>
    <xdr:clientData/>
  </xdr:twoCellAnchor>
  <xdr:twoCellAnchor>
    <xdr:from>
      <xdr:col>4</xdr:col>
      <xdr:colOff>838200</xdr:colOff>
      <xdr:row>121</xdr:row>
      <xdr:rowOff>54429</xdr:rowOff>
    </xdr:from>
    <xdr:to>
      <xdr:col>6</xdr:col>
      <xdr:colOff>457200</xdr:colOff>
      <xdr:row>124</xdr:row>
      <xdr:rowOff>0</xdr:rowOff>
    </xdr:to>
    <xdr:cxnSp macro="">
      <xdr:nvCxnSpPr>
        <xdr:cNvPr id="10" name="Connector: Elbow 9">
          <a:extLst>
            <a:ext uri="{FF2B5EF4-FFF2-40B4-BE49-F238E27FC236}">
              <a16:creationId xmlns:a16="http://schemas.microsoft.com/office/drawing/2014/main" id="{093B3D07-F60B-413E-BB88-8DB832360FAB}"/>
            </a:ext>
          </a:extLst>
        </xdr:cNvPr>
        <xdr:cNvCxnSpPr/>
      </xdr:nvCxnSpPr>
      <xdr:spPr>
        <a:xfrm>
          <a:off x="3995057" y="22936200"/>
          <a:ext cx="1317172" cy="500743"/>
        </a:xfrm>
        <a:prstGeom prst="bentConnector3">
          <a:avLst>
            <a:gd name="adj1" fmla="val 99587"/>
          </a:avLst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419100</xdr:colOff>
      <xdr:row>12</xdr:row>
      <xdr:rowOff>34290</xdr:rowOff>
    </xdr:from>
    <xdr:to>
      <xdr:col>17</xdr:col>
      <xdr:colOff>325876</xdr:colOff>
      <xdr:row>27</xdr:row>
      <xdr:rowOff>129876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0AC7B6-9F35-4004-AE5B-1700D1672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87025" y="2225040"/>
          <a:ext cx="6284717" cy="2920701"/>
        </a:xfrm>
        <a:prstGeom prst="rect">
          <a:avLst/>
        </a:prstGeom>
      </xdr:spPr>
    </xdr:pic>
    <xdr:clientData/>
  </xdr:twoCellAnchor>
  <xdr:twoCellAnchor editAs="oneCell">
    <xdr:from>
      <xdr:col>11</xdr:col>
      <xdr:colOff>481965</xdr:colOff>
      <xdr:row>28</xdr:row>
      <xdr:rowOff>7621</xdr:rowOff>
    </xdr:from>
    <xdr:to>
      <xdr:col>14</xdr:col>
      <xdr:colOff>438150</xdr:colOff>
      <xdr:row>35</xdr:row>
      <xdr:rowOff>171033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EB04B4-9833-44C7-93D7-B25314311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549890" y="5208271"/>
          <a:ext cx="4347210" cy="14264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29</xdr:row>
      <xdr:rowOff>142875</xdr:rowOff>
    </xdr:from>
    <xdr:to>
      <xdr:col>8</xdr:col>
      <xdr:colOff>238125</xdr:colOff>
      <xdr:row>49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BEA0004-3D80-42DE-A151-2D31825BC8F1}"/>
            </a:ext>
          </a:extLst>
        </xdr:cNvPr>
        <xdr:cNvSpPr txBox="1"/>
      </xdr:nvSpPr>
      <xdr:spPr>
        <a:xfrm>
          <a:off x="3371850" y="5467350"/>
          <a:ext cx="3190875" cy="3790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M=aintenance Description - ML 4: Passenger car use. </a:t>
          </a:r>
        </a:p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Provide moderate</a:t>
          </a:r>
        </a:p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degree of user comfort and convenience;</a:t>
          </a:r>
        </a:p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moderate speeds and traffic volume;</a:t>
          </a:r>
        </a:p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drainage structures are culverts; and double</a:t>
          </a:r>
        </a:p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lane aggregate surface with a ditch. Brush to</a:t>
          </a:r>
        </a:p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maintain sight distance. Surface blade free of</a:t>
          </a:r>
        </a:p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washboard, potholes, or other irregularities.</a:t>
          </a:r>
        </a:p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Surface is smooth, compact, crowned or</a:t>
          </a:r>
        </a:p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sloped to drain without segregation of</a:t>
          </a:r>
        </a:p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surface materials; no ruts or rills; suitable</a:t>
          </a:r>
        </a:p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material is recovered and incorported;</a:t>
          </a:r>
        </a:p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unsuitable material is removed. Abate dust</a:t>
          </a:r>
        </a:p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as needed. Shoulders are shaped to provide</a:t>
          </a:r>
        </a:p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 smooth transition to traveled way and drain</a:t>
          </a:r>
        </a:p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efficiently. Ditches and culverts function</a:t>
          </a:r>
        </a:p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efficiently. Clean/Repair structures</a:t>
          </a:r>
        </a:p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(cattleguard, gate) and signs. Spot Surface</a:t>
          </a:r>
        </a:p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with aggregate. Patch and crack sealing.</a:t>
          </a:r>
        </a:p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Road Maintenance cycle for ML4 roads is</a:t>
          </a:r>
        </a:p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primarily </a:t>
          </a:r>
          <a:r>
            <a:rPr 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3 years.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Sites\Sites_Ladoga%20Road%20Alts\Escalated%20estimate\Road%20Alts_El%20467_escal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Sites\Sites_Ladoga%20Road%20Alts\Escalated%20estimate\Road%20Alts_El%20467_phase%201_escala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Sites\Sites_Ladoga%20Road%20Alts\Escalated%20estimate\Road%20Alts_El%20491_escalate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Sites\Sites_Ladoga%20Road%20Alts\Escalated%20estimate\Road%20Alts_El%20491_phase%201_escal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lts Summary"/>
      <sheetName val="Time of Travel"/>
    </sheetNames>
    <sheetDataSet>
      <sheetData sheetId="0">
        <row r="17">
          <cell r="H17">
            <v>37.354439933884308</v>
          </cell>
        </row>
        <row r="18">
          <cell r="H18">
            <v>9.2561983471074374E-2</v>
          </cell>
        </row>
        <row r="19">
          <cell r="H19">
            <v>9.4499999999999993</v>
          </cell>
        </row>
        <row r="20">
          <cell r="H20">
            <v>29.727243491577291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lts Summary"/>
      <sheetName val="Time of Travel"/>
    </sheetNames>
    <sheetDataSet>
      <sheetData sheetId="0">
        <row r="17">
          <cell r="H17">
            <v>37.354439933884308</v>
          </cell>
        </row>
        <row r="18">
          <cell r="H18">
            <v>9.2561983471074374E-2</v>
          </cell>
        </row>
        <row r="19">
          <cell r="H19">
            <v>9.4499999999999993</v>
          </cell>
        </row>
        <row r="20">
          <cell r="H20">
            <v>78.931598492125218</v>
          </cell>
        </row>
        <row r="21">
          <cell r="H21">
            <v>22.7392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lts Summary"/>
      <sheetName val="Time of Travel"/>
    </sheetNames>
    <sheetDataSet>
      <sheetData sheetId="0">
        <row r="17">
          <cell r="H17">
            <v>37.354439933884308</v>
          </cell>
        </row>
        <row r="18">
          <cell r="H18">
            <v>9.2561983471074374E-2</v>
          </cell>
        </row>
        <row r="19">
          <cell r="H19">
            <v>9.4499999999999993</v>
          </cell>
        </row>
        <row r="20">
          <cell r="H20">
            <v>53.247733012444819</v>
          </cell>
        </row>
        <row r="21">
          <cell r="H21">
            <v>25.660640000000001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lts Summary"/>
      <sheetName val="Time of Travel"/>
    </sheetNames>
    <sheetDataSet>
      <sheetData sheetId="0">
        <row r="17">
          <cell r="H17">
            <v>37.354439933884308</v>
          </cell>
        </row>
        <row r="18">
          <cell r="H18">
            <v>9.2561983471074374E-2</v>
          </cell>
        </row>
        <row r="19">
          <cell r="H19">
            <v>9.4499999999999993</v>
          </cell>
        </row>
        <row r="20">
          <cell r="H20">
            <v>97.4863682851215</v>
          </cell>
        </row>
        <row r="21">
          <cell r="H21">
            <v>25.660640000000001</v>
          </cell>
        </row>
      </sheetData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ichael, Howard" id="{0C313088-EBA6-460D-BBEC-4AC3E2D077B9}" userId="S::howard.michael@aecom.com::ee81c04c-e9bf-4282-8829-67249ccd247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F9EB5-F785-4BCA-A7EE-6A6A3C7D4DA5}">
  <dimension ref="B1:AE137"/>
  <sheetViews>
    <sheetView showGridLines="0" topLeftCell="A74" zoomScale="85" zoomScaleNormal="85" zoomScaleSheetLayoutView="130" workbookViewId="0">
      <selection activeCell="N123" sqref="N123"/>
    </sheetView>
  </sheetViews>
  <sheetFormatPr defaultRowHeight="15.05" x14ac:dyDescent="0.3"/>
  <cols>
    <col min="1" max="1" width="3.44140625" customWidth="1"/>
    <col min="2" max="2" width="22" customWidth="1"/>
    <col min="3" max="3" width="15.44140625" customWidth="1"/>
    <col min="4" max="4" width="16" bestFit="1" customWidth="1"/>
    <col min="5" max="5" width="12.44140625" customWidth="1"/>
    <col min="6" max="6" width="12.44140625" bestFit="1" customWidth="1"/>
    <col min="7" max="7" width="12.44140625" customWidth="1"/>
    <col min="8" max="9" width="12.33203125" customWidth="1"/>
    <col min="10" max="10" width="11.6640625" customWidth="1"/>
    <col min="11" max="11" width="19.5546875" bestFit="1" customWidth="1"/>
    <col min="12" max="12" width="14.44140625" customWidth="1"/>
    <col min="13" max="13" width="14.88671875" customWidth="1"/>
    <col min="14" max="14" width="34.88671875" bestFit="1" customWidth="1"/>
    <col min="16" max="16" width="11.109375" bestFit="1" customWidth="1"/>
    <col min="20" max="20" width="14.44140625" bestFit="1" customWidth="1"/>
    <col min="24" max="24" width="14.109375" bestFit="1" customWidth="1"/>
  </cols>
  <sheetData>
    <row r="1" spans="2:31" x14ac:dyDescent="0.3">
      <c r="C1" s="4"/>
      <c r="D1" s="31"/>
      <c r="E1" s="141" t="s">
        <v>172</v>
      </c>
      <c r="F1" s="141"/>
      <c r="G1" s="141"/>
      <c r="U1" s="21"/>
      <c r="V1" s="21"/>
      <c r="W1" s="21"/>
    </row>
    <row r="2" spans="2:31" x14ac:dyDescent="0.3">
      <c r="B2" s="179" t="s">
        <v>156</v>
      </c>
      <c r="C2" s="179"/>
      <c r="D2" s="179"/>
      <c r="E2" s="179"/>
      <c r="F2" s="179"/>
      <c r="G2" s="179"/>
      <c r="H2" s="179"/>
      <c r="I2" s="179"/>
      <c r="U2" s="21"/>
      <c r="V2" s="21"/>
      <c r="W2" s="21"/>
    </row>
    <row r="3" spans="2:31" x14ac:dyDescent="0.3">
      <c r="B3" s="179" t="s">
        <v>157</v>
      </c>
      <c r="C3" s="179"/>
      <c r="D3" s="179"/>
      <c r="E3" s="179"/>
      <c r="F3" s="179"/>
      <c r="G3" s="179"/>
      <c r="H3" s="179"/>
      <c r="I3" s="179"/>
      <c r="U3" s="21"/>
      <c r="V3" s="21"/>
      <c r="W3" s="21"/>
    </row>
    <row r="4" spans="2:31" x14ac:dyDescent="0.3">
      <c r="B4" s="180">
        <v>43870</v>
      </c>
      <c r="C4" s="180"/>
      <c r="D4" s="180"/>
      <c r="E4" s="180"/>
      <c r="F4" s="180"/>
      <c r="G4" s="180"/>
      <c r="H4" s="180"/>
      <c r="I4" s="180"/>
      <c r="U4" s="21"/>
      <c r="V4" s="21"/>
      <c r="W4" s="21"/>
    </row>
    <row r="6" spans="2:31" ht="15.65" x14ac:dyDescent="0.3">
      <c r="B6" s="183" t="s">
        <v>196</v>
      </c>
      <c r="C6" s="183"/>
      <c r="D6" s="183"/>
      <c r="E6" s="183"/>
      <c r="F6" s="183"/>
      <c r="G6" s="183"/>
      <c r="H6" s="183"/>
      <c r="I6" s="183"/>
      <c r="K6" t="s">
        <v>163</v>
      </c>
      <c r="N6" t="s">
        <v>180</v>
      </c>
      <c r="X6" s="21"/>
      <c r="Y6" s="21"/>
      <c r="Z6" s="21"/>
      <c r="AA6" s="21"/>
    </row>
    <row r="7" spans="2:31" x14ac:dyDescent="0.3">
      <c r="B7" s="32" t="s">
        <v>7</v>
      </c>
      <c r="C7" s="56" t="s">
        <v>144</v>
      </c>
      <c r="D7" s="186" t="s">
        <v>2</v>
      </c>
      <c r="E7" s="186"/>
      <c r="F7" s="187" t="s">
        <v>195</v>
      </c>
      <c r="G7" s="187"/>
      <c r="H7" s="184" t="s">
        <v>3</v>
      </c>
      <c r="I7" s="185"/>
      <c r="K7" t="s">
        <v>164</v>
      </c>
      <c r="L7" t="s">
        <v>168</v>
      </c>
      <c r="M7" t="s">
        <v>169</v>
      </c>
      <c r="N7" s="130">
        <f>10</f>
        <v>10</v>
      </c>
      <c r="O7" t="s">
        <v>174</v>
      </c>
    </row>
    <row r="8" spans="2:31" x14ac:dyDescent="0.3">
      <c r="B8" s="32" t="s">
        <v>42</v>
      </c>
      <c r="C8" s="156">
        <v>50</v>
      </c>
      <c r="D8" s="181">
        <v>38</v>
      </c>
      <c r="E8" s="181"/>
      <c r="F8" s="181">
        <v>24</v>
      </c>
      <c r="G8" s="181"/>
      <c r="H8" s="189">
        <v>14</v>
      </c>
      <c r="I8" s="190"/>
      <c r="K8" t="s">
        <v>165</v>
      </c>
      <c r="L8" s="134">
        <v>1</v>
      </c>
      <c r="M8" s="130">
        <v>457</v>
      </c>
      <c r="N8" s="130">
        <f>M8+N7</f>
        <v>467</v>
      </c>
      <c r="O8" s="133">
        <f>N$11-N8</f>
        <v>63</v>
      </c>
    </row>
    <row r="9" spans="2:31" x14ac:dyDescent="0.3">
      <c r="B9" s="32" t="s">
        <v>8</v>
      </c>
      <c r="C9" s="132">
        <v>19.3</v>
      </c>
      <c r="D9" s="182">
        <v>15.4</v>
      </c>
      <c r="E9" s="182"/>
      <c r="F9" s="182">
        <v>10.199999999999999</v>
      </c>
      <c r="G9" s="182"/>
      <c r="H9" s="182">
        <v>5.0999999999999996</v>
      </c>
      <c r="I9" s="182"/>
      <c r="K9" t="s">
        <v>166</v>
      </c>
      <c r="L9" s="134">
        <v>1</v>
      </c>
      <c r="M9" s="130">
        <v>457</v>
      </c>
      <c r="N9" s="130">
        <f>M9+N7</f>
        <v>467</v>
      </c>
      <c r="O9" s="133">
        <f>N$11-N9</f>
        <v>63</v>
      </c>
      <c r="AB9" s="1">
        <v>600</v>
      </c>
      <c r="AC9" t="s">
        <v>28</v>
      </c>
    </row>
    <row r="10" spans="2:31" x14ac:dyDescent="0.3">
      <c r="B10" s="32" t="s">
        <v>20</v>
      </c>
      <c r="C10" s="33">
        <f>($K38*C123)/27</f>
        <v>830328.88888888888</v>
      </c>
      <c r="D10" s="191">
        <f>($K38*C122)/27</f>
        <v>662542.22222222225</v>
      </c>
      <c r="E10" s="191"/>
      <c r="F10" s="181">
        <f>($K38*C121)/27</f>
        <v>438826.66666666657</v>
      </c>
      <c r="G10" s="181"/>
      <c r="H10" s="189">
        <f>($K38*C120)/27</f>
        <v>219413.33333333328</v>
      </c>
      <c r="I10" s="190"/>
      <c r="K10" t="s">
        <v>167</v>
      </c>
      <c r="L10" s="134">
        <v>1.3</v>
      </c>
      <c r="M10" s="57">
        <f>(L10-L9)/(L11-L9)*(M11-M9)+M9</f>
        <v>480.625</v>
      </c>
      <c r="N10" s="57">
        <f>M10+N7</f>
        <v>490.625</v>
      </c>
      <c r="O10" s="133">
        <f>N$11-N10</f>
        <v>39.375</v>
      </c>
      <c r="AA10" t="s">
        <v>1</v>
      </c>
      <c r="AB10" s="1">
        <f>AB9*4</f>
        <v>2400</v>
      </c>
      <c r="AC10" t="s">
        <v>0</v>
      </c>
      <c r="AE10" s="2">
        <f>AB10/36</f>
        <v>66.666666666666671</v>
      </c>
    </row>
    <row r="11" spans="2:31" x14ac:dyDescent="0.3">
      <c r="B11" s="32" t="s">
        <v>56</v>
      </c>
      <c r="C11" s="33">
        <f>C123*60/43560</f>
        <v>140.36363636363637</v>
      </c>
      <c r="D11" s="191">
        <f>C122*60/43560</f>
        <v>112</v>
      </c>
      <c r="E11" s="191"/>
      <c r="F11" s="181">
        <f>C121*60/43560</f>
        <v>74.181818181818173</v>
      </c>
      <c r="G11" s="181"/>
      <c r="H11" s="189">
        <f>C120*60/43560</f>
        <v>37.090909090909086</v>
      </c>
      <c r="I11" s="190"/>
      <c r="K11" t="s">
        <v>170</v>
      </c>
      <c r="L11" s="134">
        <v>1.8</v>
      </c>
      <c r="M11" s="130">
        <v>520</v>
      </c>
      <c r="N11" s="130">
        <f>M11+N7</f>
        <v>530</v>
      </c>
      <c r="O11">
        <v>0</v>
      </c>
      <c r="AB11" s="1"/>
      <c r="AE11" s="2"/>
    </row>
    <row r="12" spans="2:31" x14ac:dyDescent="0.3">
      <c r="B12" s="51" t="s">
        <v>135</v>
      </c>
      <c r="C12" s="33">
        <v>0</v>
      </c>
      <c r="D12" s="191">
        <f>D117</f>
        <v>500</v>
      </c>
      <c r="E12" s="191"/>
      <c r="F12" s="181">
        <f>D116</f>
        <v>1000</v>
      </c>
      <c r="G12" s="181"/>
      <c r="H12" s="189">
        <f>D115</f>
        <v>1500</v>
      </c>
      <c r="I12" s="190"/>
    </row>
    <row r="13" spans="2:31" x14ac:dyDescent="0.3">
      <c r="B13" s="51" t="s">
        <v>134</v>
      </c>
      <c r="C13" s="33">
        <v>0</v>
      </c>
      <c r="D13" s="191">
        <f>C117</f>
        <v>2045</v>
      </c>
      <c r="E13" s="191"/>
      <c r="F13" s="181">
        <f>C116</f>
        <v>5690</v>
      </c>
      <c r="G13" s="181"/>
      <c r="H13" s="189">
        <f>C115</f>
        <v>7830</v>
      </c>
      <c r="I13" s="190"/>
    </row>
    <row r="14" spans="2:31" x14ac:dyDescent="0.3">
      <c r="B14" s="52"/>
      <c r="C14" s="53"/>
      <c r="D14" s="53"/>
      <c r="E14" s="53"/>
      <c r="F14" s="53"/>
      <c r="G14" s="53"/>
      <c r="H14" s="54"/>
      <c r="I14" s="54"/>
    </row>
    <row r="15" spans="2:31" ht="15.65" x14ac:dyDescent="0.3">
      <c r="B15" s="188" t="s">
        <v>73</v>
      </c>
      <c r="C15" s="188"/>
      <c r="D15" s="188"/>
      <c r="E15" s="188"/>
      <c r="F15" s="188"/>
      <c r="G15" s="188"/>
      <c r="H15" s="188"/>
      <c r="I15" s="188"/>
      <c r="K15" s="176">
        <f>C22/C9</f>
        <v>11.577909818181819</v>
      </c>
    </row>
    <row r="16" spans="2:31" ht="15.65" x14ac:dyDescent="0.3">
      <c r="B16" s="61" t="s">
        <v>122</v>
      </c>
      <c r="C16" s="88" t="s">
        <v>47</v>
      </c>
      <c r="D16" s="88" t="s">
        <v>74</v>
      </c>
      <c r="E16" s="88" t="s">
        <v>75</v>
      </c>
      <c r="F16" s="88" t="s">
        <v>74</v>
      </c>
      <c r="G16" s="88" t="s">
        <v>75</v>
      </c>
      <c r="H16" s="88" t="s">
        <v>74</v>
      </c>
      <c r="I16" s="88" t="s">
        <v>75</v>
      </c>
    </row>
    <row r="17" spans="2:14" x14ac:dyDescent="0.3">
      <c r="B17" s="51" t="s">
        <v>4</v>
      </c>
      <c r="C17" s="63">
        <f>C123*$J103/1000000</f>
        <v>188.7241867636364</v>
      </c>
      <c r="D17" s="63">
        <f>((C122-C117)*$J103)/1000000</f>
        <v>146.80091176198349</v>
      </c>
      <c r="E17" s="79">
        <f>(C122-C117)*$J103/1000000</f>
        <v>146.80091176198349</v>
      </c>
      <c r="F17" s="63">
        <f>((C121-C116)*$J103)/1000000</f>
        <v>89.20247664132232</v>
      </c>
      <c r="G17" s="79">
        <f>(C121-C116)*$J103/1000000</f>
        <v>89.20247664132232</v>
      </c>
      <c r="H17" s="63">
        <f>((C120-C115)*$J103)/1000000</f>
        <v>35.369117196694219</v>
      </c>
      <c r="I17" s="79">
        <f>(C120-C115)*$J103/1000000</f>
        <v>35.369117196694219</v>
      </c>
    </row>
    <row r="18" spans="2:14" x14ac:dyDescent="0.3">
      <c r="B18" s="51" t="s">
        <v>57</v>
      </c>
      <c r="C18" s="93">
        <f>C11*$J75/1000000</f>
        <v>0.33687272727272727</v>
      </c>
      <c r="D18" s="93">
        <f>D11*$J75/1000000</f>
        <v>0.26879999999999998</v>
      </c>
      <c r="E18" s="80">
        <f>D18</f>
        <v>0.26879999999999998</v>
      </c>
      <c r="F18" s="93">
        <f>F11*$J75/1000000</f>
        <v>0.17803636363636363</v>
      </c>
      <c r="G18" s="80">
        <f>F18</f>
        <v>0.17803636363636363</v>
      </c>
      <c r="H18" s="93">
        <f>H11*$J75/1000000</f>
        <v>8.9018181818181816E-2</v>
      </c>
      <c r="I18" s="80">
        <f>H18</f>
        <v>8.9018181818181816E-2</v>
      </c>
    </row>
    <row r="19" spans="2:14" x14ac:dyDescent="0.3">
      <c r="B19" s="51" t="s">
        <v>43</v>
      </c>
      <c r="C19" s="63">
        <f>C123*$J$71*$J$70/1000000</f>
        <v>34.392600000000002</v>
      </c>
      <c r="D19" s="63">
        <f>C122*$J$71*$J$70/1000000</f>
        <v>27.442799999999998</v>
      </c>
      <c r="E19" s="79">
        <f>D19</f>
        <v>27.442799999999998</v>
      </c>
      <c r="F19" s="63">
        <f>C121*$J$71*$J$70/1000000</f>
        <v>18.176399999999997</v>
      </c>
      <c r="G19" s="79">
        <f>F19</f>
        <v>18.176399999999997</v>
      </c>
      <c r="H19" s="63">
        <f>C120*$J$71*$J$70/1000000</f>
        <v>9.0881999999999987</v>
      </c>
      <c r="I19" s="79">
        <f>H19</f>
        <v>9.0881999999999987</v>
      </c>
    </row>
    <row r="20" spans="2:14" x14ac:dyDescent="0.3">
      <c r="B20" s="105" t="s">
        <v>142</v>
      </c>
      <c r="C20" s="106">
        <v>0</v>
      </c>
      <c r="D20" s="109">
        <f>N122/1000000</f>
        <v>1.4369243415977966</v>
      </c>
      <c r="E20" s="107">
        <v>0</v>
      </c>
      <c r="F20" s="109">
        <f>N121/1000000</f>
        <v>43.708790473532922</v>
      </c>
      <c r="G20" s="107">
        <v>0</v>
      </c>
      <c r="H20" s="109">
        <f>N120/1000000</f>
        <v>105.47475498402204</v>
      </c>
      <c r="I20" s="107">
        <v>0</v>
      </c>
    </row>
    <row r="21" spans="2:14" ht="15.65" thickBot="1" x14ac:dyDescent="0.35">
      <c r="B21" s="55" t="s">
        <v>5</v>
      </c>
      <c r="C21" s="75">
        <v>0</v>
      </c>
      <c r="D21" s="75">
        <f>D12*38*K61/1000000</f>
        <v>15.2</v>
      </c>
      <c r="E21" s="78">
        <f>N128/1000000</f>
        <v>76.583205000000021</v>
      </c>
      <c r="F21" s="75">
        <f>F12*38*K61/1000000</f>
        <v>30.4</v>
      </c>
      <c r="G21" s="78">
        <f>N127/1000000</f>
        <v>213.08481000000003</v>
      </c>
      <c r="H21" s="75">
        <f>H12*38*K61/1000000</f>
        <v>45.6</v>
      </c>
      <c r="I21" s="78">
        <f>N126/1000000</f>
        <v>293.22567000000004</v>
      </c>
    </row>
    <row r="22" spans="2:14" ht="19.45" thickTop="1" thickBot="1" x14ac:dyDescent="0.4">
      <c r="B22" s="110" t="s">
        <v>143</v>
      </c>
      <c r="C22" s="111">
        <f t="shared" ref="C22:I22" si="0">SUM(C17:C21)</f>
        <v>223.4536594909091</v>
      </c>
      <c r="D22" s="111">
        <f t="shared" si="0"/>
        <v>191.14943610358128</v>
      </c>
      <c r="E22" s="112">
        <f t="shared" si="0"/>
        <v>251.09571676198351</v>
      </c>
      <c r="F22" s="111">
        <f t="shared" si="0"/>
        <v>181.66570347849162</v>
      </c>
      <c r="G22" s="112">
        <f t="shared" si="0"/>
        <v>320.64172300495875</v>
      </c>
      <c r="H22" s="111">
        <f t="shared" si="0"/>
        <v>195.62109036253443</v>
      </c>
      <c r="I22" s="112">
        <f t="shared" si="0"/>
        <v>337.77200537851246</v>
      </c>
    </row>
    <row r="23" spans="2:14" x14ac:dyDescent="0.3">
      <c r="B23" s="35" t="s">
        <v>6</v>
      </c>
      <c r="C23" s="94" t="s">
        <v>47</v>
      </c>
      <c r="D23" s="76">
        <f>C22-D22</f>
        <v>32.304223387327824</v>
      </c>
      <c r="E23" s="113">
        <f>C22-E22</f>
        <v>-27.642057271074407</v>
      </c>
      <c r="F23" s="114">
        <f>C22-F22</f>
        <v>41.787956012417482</v>
      </c>
      <c r="G23" s="113">
        <f>C22-G22</f>
        <v>-97.188063514049645</v>
      </c>
      <c r="H23" s="116">
        <f>C22-H22</f>
        <v>27.832569128374672</v>
      </c>
      <c r="I23" s="113">
        <f>C22-I22</f>
        <v>-114.31834588760336</v>
      </c>
    </row>
    <row r="24" spans="2:14" x14ac:dyDescent="0.3">
      <c r="B24" s="32" t="s">
        <v>132</v>
      </c>
      <c r="C24" s="77">
        <f>$I22-C22</f>
        <v>114.31834588760336</v>
      </c>
      <c r="D24" s="77">
        <f t="shared" ref="D24:H24" si="1">$I22-D22</f>
        <v>146.62256927493118</v>
      </c>
      <c r="E24" s="77">
        <f t="shared" si="1"/>
        <v>86.67628861652895</v>
      </c>
      <c r="F24" s="77">
        <f t="shared" si="1"/>
        <v>156.10630190002084</v>
      </c>
      <c r="G24" s="77">
        <f t="shared" si="1"/>
        <v>17.130282373553712</v>
      </c>
      <c r="H24" s="115">
        <f t="shared" si="1"/>
        <v>142.15091501597803</v>
      </c>
      <c r="I24" s="77" t="s">
        <v>47</v>
      </c>
      <c r="K24" s="21" t="s">
        <v>133</v>
      </c>
    </row>
    <row r="25" spans="2:14" x14ac:dyDescent="0.3">
      <c r="B25" s="34"/>
      <c r="C25" s="108"/>
      <c r="D25" s="108"/>
      <c r="E25" s="108"/>
      <c r="F25" s="108"/>
      <c r="G25" s="108"/>
      <c r="H25" s="108"/>
      <c r="I25" s="108"/>
      <c r="N25" s="21"/>
    </row>
    <row r="26" spans="2:14" x14ac:dyDescent="0.3">
      <c r="B26" s="34" t="s">
        <v>115</v>
      </c>
      <c r="C26" s="46"/>
      <c r="D26" s="47"/>
      <c r="E26" s="47"/>
      <c r="F26" s="47"/>
      <c r="G26" s="47"/>
      <c r="H26" s="47"/>
      <c r="I26" s="47"/>
    </row>
    <row r="27" spans="2:14" x14ac:dyDescent="0.3">
      <c r="B27" s="34"/>
      <c r="C27" s="46"/>
      <c r="D27" s="47"/>
      <c r="E27" s="47"/>
      <c r="F27" s="47"/>
      <c r="G27" s="47"/>
      <c r="H27" s="47"/>
      <c r="I27" s="47"/>
    </row>
    <row r="28" spans="2:14" x14ac:dyDescent="0.3">
      <c r="B28" s="34"/>
      <c r="C28" s="46"/>
      <c r="D28" s="47"/>
      <c r="E28" s="47"/>
      <c r="F28" s="47"/>
      <c r="G28" s="47"/>
      <c r="H28" s="47"/>
      <c r="I28" s="47"/>
    </row>
    <row r="29" spans="2:14" x14ac:dyDescent="0.3">
      <c r="B29" s="34"/>
      <c r="C29" s="46"/>
      <c r="D29" s="47"/>
      <c r="E29" s="47"/>
      <c r="F29" s="47"/>
      <c r="G29" s="47"/>
      <c r="H29" s="47"/>
      <c r="I29" s="47"/>
    </row>
    <row r="38" spans="2:12" x14ac:dyDescent="0.3">
      <c r="B38" t="s">
        <v>109</v>
      </c>
      <c r="J38" s="4" t="s">
        <v>110</v>
      </c>
      <c r="K38">
        <v>220</v>
      </c>
      <c r="L38" t="s">
        <v>108</v>
      </c>
    </row>
    <row r="39" spans="2:12" x14ac:dyDescent="0.3">
      <c r="B39" s="34" t="s">
        <v>116</v>
      </c>
      <c r="J39" s="4"/>
    </row>
    <row r="40" spans="2:12" x14ac:dyDescent="0.3">
      <c r="J40" s="4"/>
    </row>
    <row r="41" spans="2:12" x14ac:dyDescent="0.3">
      <c r="J41" s="4"/>
    </row>
    <row r="42" spans="2:12" x14ac:dyDescent="0.3">
      <c r="J42" s="4"/>
    </row>
    <row r="43" spans="2:12" x14ac:dyDescent="0.3">
      <c r="J43" s="4"/>
    </row>
    <row r="44" spans="2:12" x14ac:dyDescent="0.3">
      <c r="J44" s="4"/>
    </row>
    <row r="45" spans="2:12" x14ac:dyDescent="0.3">
      <c r="J45" s="4"/>
    </row>
    <row r="46" spans="2:12" x14ac:dyDescent="0.3">
      <c r="J46" s="4"/>
    </row>
    <row r="47" spans="2:12" x14ac:dyDescent="0.3">
      <c r="J47" s="4"/>
    </row>
    <row r="48" spans="2:12" x14ac:dyDescent="0.3">
      <c r="J48" s="4"/>
    </row>
    <row r="49" spans="2:23" x14ac:dyDescent="0.3">
      <c r="J49" s="4"/>
    </row>
    <row r="50" spans="2:23" x14ac:dyDescent="0.3">
      <c r="J50" s="4"/>
    </row>
    <row r="51" spans="2:23" x14ac:dyDescent="0.3">
      <c r="B51" t="s">
        <v>111</v>
      </c>
      <c r="J51" s="4" t="s">
        <v>107</v>
      </c>
      <c r="K51">
        <v>838</v>
      </c>
      <c r="L51" t="s">
        <v>108</v>
      </c>
    </row>
    <row r="52" spans="2:23" x14ac:dyDescent="0.3">
      <c r="J52" s="4" t="s">
        <v>112</v>
      </c>
      <c r="K52">
        <f>K51*0.65</f>
        <v>544.70000000000005</v>
      </c>
      <c r="L52" t="s">
        <v>108</v>
      </c>
    </row>
    <row r="53" spans="2:23" x14ac:dyDescent="0.3">
      <c r="J53" s="4"/>
    </row>
    <row r="55" spans="2:23" ht="18.2" x14ac:dyDescent="0.35">
      <c r="B55" s="195" t="s">
        <v>38</v>
      </c>
      <c r="C55" s="195"/>
      <c r="D55" s="195"/>
      <c r="E55" s="195"/>
      <c r="F55" s="195"/>
      <c r="G55" s="195"/>
      <c r="H55" s="195"/>
      <c r="I55" s="195"/>
      <c r="J55" s="195"/>
    </row>
    <row r="56" spans="2:23" ht="30.05" customHeight="1" x14ac:dyDescent="0.3">
      <c r="B56" s="196" t="s">
        <v>41</v>
      </c>
      <c r="C56" s="196"/>
      <c r="H56" s="6" t="s">
        <v>18</v>
      </c>
      <c r="I56" s="6"/>
      <c r="J56" s="104" t="s">
        <v>140</v>
      </c>
      <c r="K56" s="104" t="s">
        <v>141</v>
      </c>
    </row>
    <row r="57" spans="2:23" x14ac:dyDescent="0.3">
      <c r="B57" s="196"/>
      <c r="C57" s="196"/>
      <c r="F57" s="22" t="s">
        <v>5</v>
      </c>
      <c r="G57" s="22"/>
      <c r="H57" s="22" t="s">
        <v>19</v>
      </c>
      <c r="I57" s="22"/>
      <c r="J57" s="29">
        <v>657</v>
      </c>
      <c r="K57" s="29">
        <v>400</v>
      </c>
    </row>
    <row r="58" spans="2:23" x14ac:dyDescent="0.3">
      <c r="F58" s="4" t="str">
        <f>C96</f>
        <v>Mobilization</v>
      </c>
      <c r="G58" s="4"/>
      <c r="H58" s="28">
        <v>0.1</v>
      </c>
      <c r="I58" s="28"/>
      <c r="J58" s="2">
        <f>J57*H58</f>
        <v>65.7</v>
      </c>
      <c r="K58" s="2">
        <f>K57*H58</f>
        <v>40</v>
      </c>
      <c r="U58" s="36"/>
      <c r="V58" s="36"/>
      <c r="W58" s="36"/>
    </row>
    <row r="59" spans="2:23" x14ac:dyDescent="0.3">
      <c r="F59" s="4" t="str">
        <f>C99</f>
        <v>Time Related OH</v>
      </c>
      <c r="G59" s="4"/>
      <c r="H59" s="28">
        <v>0.1</v>
      </c>
      <c r="I59" s="28"/>
      <c r="J59" s="2">
        <f>J57*H59</f>
        <v>65.7</v>
      </c>
      <c r="K59" s="2">
        <f>K57*H59</f>
        <v>40</v>
      </c>
    </row>
    <row r="60" spans="2:23" x14ac:dyDescent="0.3">
      <c r="F60" s="4" t="str">
        <f>C102</f>
        <v>Contingency</v>
      </c>
      <c r="G60" s="4"/>
      <c r="H60" s="28">
        <v>0.3</v>
      </c>
      <c r="I60" s="28"/>
      <c r="J60" s="10">
        <f>J57*H60</f>
        <v>197.1</v>
      </c>
      <c r="K60" s="10">
        <f>K57*H60</f>
        <v>120</v>
      </c>
    </row>
    <row r="61" spans="2:23" x14ac:dyDescent="0.3">
      <c r="H61" s="16" t="s">
        <v>40</v>
      </c>
      <c r="I61" s="16"/>
      <c r="J61" s="18">
        <f>SUM(J57:J60)</f>
        <v>985.50000000000011</v>
      </c>
      <c r="K61" s="177">
        <v>800</v>
      </c>
      <c r="L61">
        <f>1.5*5280</f>
        <v>7920</v>
      </c>
      <c r="M61" s="1">
        <f>L61*J61</f>
        <v>7805160.0000000009</v>
      </c>
    </row>
    <row r="62" spans="2:23" x14ac:dyDescent="0.3">
      <c r="K62" s="197" t="s">
        <v>223</v>
      </c>
      <c r="L62" s="197"/>
      <c r="M62" s="1">
        <f>M61*38</f>
        <v>296596080.00000006</v>
      </c>
      <c r="U62" s="36"/>
      <c r="V62" s="36"/>
      <c r="W62" s="36"/>
    </row>
    <row r="63" spans="2:23" ht="18.2" x14ac:dyDescent="0.35">
      <c r="B63" s="195" t="s">
        <v>44</v>
      </c>
      <c r="C63" s="195"/>
      <c r="D63" s="195"/>
      <c r="E63" s="195"/>
      <c r="F63" s="195"/>
      <c r="G63" s="195"/>
      <c r="H63" s="195"/>
      <c r="I63" s="195"/>
      <c r="J63" s="195"/>
      <c r="K63" s="197"/>
      <c r="L63" s="197"/>
    </row>
    <row r="64" spans="2:23" x14ac:dyDescent="0.3">
      <c r="D64" s="6" t="s">
        <v>17</v>
      </c>
      <c r="E64" s="6"/>
      <c r="F64" s="38" t="s">
        <v>21</v>
      </c>
      <c r="G64" s="62"/>
      <c r="H64" s="6" t="s">
        <v>18</v>
      </c>
      <c r="I64" s="6"/>
      <c r="J64" s="193" t="s">
        <v>50</v>
      </c>
      <c r="K64" s="193"/>
    </row>
    <row r="65" spans="2:23" x14ac:dyDescent="0.3">
      <c r="C65" s="4" t="s">
        <v>46</v>
      </c>
      <c r="D65" s="7" t="s">
        <v>19</v>
      </c>
      <c r="E65" s="7"/>
      <c r="F65" s="39">
        <v>15</v>
      </c>
      <c r="G65" s="39"/>
      <c r="H65" s="24">
        <v>100</v>
      </c>
      <c r="I65" s="24"/>
      <c r="J65" s="1">
        <f>H65*F65</f>
        <v>1500</v>
      </c>
    </row>
    <row r="66" spans="2:23" x14ac:dyDescent="0.3">
      <c r="D66" s="7"/>
      <c r="E66" s="7"/>
      <c r="F66" s="4" t="str">
        <f>F58</f>
        <v>Mobilization</v>
      </c>
      <c r="G66" s="4"/>
      <c r="H66" s="28">
        <v>0.1</v>
      </c>
      <c r="I66" s="28"/>
      <c r="J66" s="2">
        <f>J65*H66</f>
        <v>150</v>
      </c>
    </row>
    <row r="67" spans="2:23" x14ac:dyDescent="0.3">
      <c r="D67" s="7"/>
      <c r="E67" s="7"/>
      <c r="F67" s="4"/>
      <c r="G67" s="4"/>
      <c r="H67" s="28"/>
      <c r="I67" s="28"/>
      <c r="J67" s="2"/>
    </row>
    <row r="68" spans="2:23" x14ac:dyDescent="0.3">
      <c r="F68" s="4" t="str">
        <f>F59</f>
        <v>Time Related OH</v>
      </c>
      <c r="G68" s="4"/>
      <c r="H68" s="28">
        <v>0.1</v>
      </c>
      <c r="I68" s="28"/>
      <c r="J68" s="2">
        <f>J65*H68</f>
        <v>150</v>
      </c>
      <c r="U68" s="36"/>
      <c r="V68" s="36"/>
      <c r="W68" s="36"/>
    </row>
    <row r="69" spans="2:23" x14ac:dyDescent="0.3">
      <c r="F69" s="4" t="str">
        <f>F60</f>
        <v>Contingency</v>
      </c>
      <c r="G69" s="4"/>
      <c r="H69" s="28">
        <v>0.3</v>
      </c>
      <c r="I69" s="28"/>
      <c r="J69" s="10">
        <f>J65*H69</f>
        <v>450</v>
      </c>
      <c r="U69" s="36"/>
      <c r="V69" s="36"/>
      <c r="W69" s="36"/>
    </row>
    <row r="70" spans="2:23" x14ac:dyDescent="0.3">
      <c r="H70" s="16" t="s">
        <v>53</v>
      </c>
      <c r="I70" s="16"/>
      <c r="J70" s="18">
        <f>SUM(J65:J69)</f>
        <v>2250</v>
      </c>
      <c r="U70" s="37"/>
      <c r="V70" s="37"/>
      <c r="W70" s="37"/>
    </row>
    <row r="71" spans="2:23" x14ac:dyDescent="0.3">
      <c r="H71" s="40" t="s">
        <v>54</v>
      </c>
      <c r="I71" s="40"/>
      <c r="J71" s="41">
        <v>0.15</v>
      </c>
      <c r="U71" s="17"/>
      <c r="V71" s="17"/>
      <c r="W71" s="17"/>
    </row>
    <row r="72" spans="2:23" x14ac:dyDescent="0.3">
      <c r="H72" s="40"/>
      <c r="I72" s="40"/>
      <c r="J72" s="41"/>
    </row>
    <row r="73" spans="2:23" ht="18.2" x14ac:dyDescent="0.35">
      <c r="B73" s="195" t="s">
        <v>59</v>
      </c>
      <c r="C73" s="195"/>
      <c r="D73" s="195"/>
      <c r="E73" s="195"/>
      <c r="F73" s="195"/>
      <c r="G73" s="195"/>
      <c r="H73" s="195"/>
      <c r="I73" s="195"/>
      <c r="J73" s="195"/>
    </row>
    <row r="74" spans="2:23" ht="32.4" customHeight="1" x14ac:dyDescent="0.3">
      <c r="H74" s="6" t="s">
        <v>17</v>
      </c>
      <c r="I74" s="6"/>
      <c r="J74" s="193" t="s">
        <v>50</v>
      </c>
      <c r="K74" s="193"/>
    </row>
    <row r="75" spans="2:23" x14ac:dyDescent="0.3">
      <c r="H75" s="7" t="s">
        <v>58</v>
      </c>
      <c r="I75" s="7"/>
      <c r="J75" s="1">
        <f>1200*2</f>
        <v>2400</v>
      </c>
    </row>
    <row r="77" spans="2:23" ht="18.2" x14ac:dyDescent="0.35">
      <c r="B77" s="195" t="s">
        <v>9</v>
      </c>
      <c r="C77" s="195"/>
      <c r="D77" s="195"/>
      <c r="E77" s="195"/>
      <c r="F77" s="195"/>
      <c r="G77" s="195"/>
      <c r="H77" s="195"/>
      <c r="I77" s="195"/>
      <c r="J77" s="195"/>
    </row>
    <row r="78" spans="2:23" x14ac:dyDescent="0.3">
      <c r="B78" s="194" t="s">
        <v>51</v>
      </c>
      <c r="C78" s="194"/>
      <c r="D78" s="194"/>
      <c r="E78" s="194"/>
      <c r="F78" s="194"/>
      <c r="G78" s="194"/>
      <c r="H78" s="194"/>
      <c r="I78" s="194"/>
      <c r="J78" s="194"/>
      <c r="N78" t="s">
        <v>36</v>
      </c>
    </row>
    <row r="79" spans="2:23" x14ac:dyDescent="0.3">
      <c r="C79" s="4" t="s">
        <v>13</v>
      </c>
      <c r="D79" s="23">
        <v>32</v>
      </c>
      <c r="E79" s="23"/>
    </row>
    <row r="80" spans="2:23" x14ac:dyDescent="0.3">
      <c r="C80" s="4" t="s">
        <v>14</v>
      </c>
      <c r="D80" s="96">
        <v>0.5</v>
      </c>
      <c r="E80" s="23"/>
    </row>
    <row r="81" spans="2:13" x14ac:dyDescent="0.3">
      <c r="C81" s="4" t="s">
        <v>15</v>
      </c>
      <c r="D81" s="96">
        <v>1.5</v>
      </c>
      <c r="E81" s="23"/>
    </row>
    <row r="82" spans="2:13" x14ac:dyDescent="0.3">
      <c r="C82" s="4" t="s">
        <v>62</v>
      </c>
      <c r="D82" s="23">
        <v>60</v>
      </c>
      <c r="E82" s="23"/>
    </row>
    <row r="83" spans="2:13" x14ac:dyDescent="0.3">
      <c r="B83" s="194" t="s">
        <v>52</v>
      </c>
      <c r="C83" s="194"/>
      <c r="D83" s="194"/>
      <c r="E83" s="194"/>
      <c r="F83" s="194"/>
      <c r="G83" s="194"/>
      <c r="H83" s="194"/>
      <c r="I83" s="194"/>
      <c r="J83" s="194"/>
    </row>
    <row r="84" spans="2:13" x14ac:dyDescent="0.3">
      <c r="C84" s="5" t="s">
        <v>16</v>
      </c>
      <c r="D84" s="6" t="s">
        <v>17</v>
      </c>
      <c r="E84" s="6"/>
      <c r="F84" s="38" t="s">
        <v>21</v>
      </c>
      <c r="G84" s="62"/>
      <c r="H84" s="6" t="s">
        <v>18</v>
      </c>
      <c r="I84" s="6"/>
      <c r="J84" s="193" t="s">
        <v>50</v>
      </c>
      <c r="K84" s="193"/>
      <c r="L84" t="s">
        <v>63</v>
      </c>
    </row>
    <row r="85" spans="2:13" x14ac:dyDescent="0.3">
      <c r="C85" s="5" t="s">
        <v>10</v>
      </c>
      <c r="D85" s="7" t="s">
        <v>48</v>
      </c>
      <c r="E85" s="7"/>
      <c r="F85" s="3">
        <f>D79*D80*150/2000</f>
        <v>1.2</v>
      </c>
      <c r="G85" s="3"/>
      <c r="H85" s="24">
        <v>100</v>
      </c>
      <c r="I85" s="24"/>
      <c r="J85" s="2">
        <f>H85*F85</f>
        <v>120</v>
      </c>
      <c r="L85" s="1">
        <f>J85*C$120</f>
        <v>3231359.9999999995</v>
      </c>
    </row>
    <row r="86" spans="2:13" x14ac:dyDescent="0.3">
      <c r="C86" s="5" t="s">
        <v>11</v>
      </c>
      <c r="D86" s="7" t="s">
        <v>49</v>
      </c>
      <c r="E86" s="7"/>
      <c r="F86" s="3">
        <f>D79*D81/27</f>
        <v>1.7777777777777777</v>
      </c>
      <c r="G86" s="3"/>
      <c r="H86" s="24">
        <v>65</v>
      </c>
      <c r="I86" s="24"/>
      <c r="J86" s="2">
        <f t="shared" ref="J86:J88" si="2">H86*F86</f>
        <v>115.55555555555554</v>
      </c>
      <c r="L86" s="1">
        <f>J86*C$120</f>
        <v>3111679.9999999991</v>
      </c>
    </row>
    <row r="87" spans="2:13" x14ac:dyDescent="0.3">
      <c r="C87" s="5" t="s">
        <v>60</v>
      </c>
      <c r="D87" s="7" t="s">
        <v>61</v>
      </c>
      <c r="E87" s="7"/>
      <c r="F87">
        <f>(D82*1)/43560</f>
        <v>1.3774104683195593E-3</v>
      </c>
      <c r="H87" s="24">
        <v>800</v>
      </c>
      <c r="I87" s="24"/>
      <c r="J87" s="2">
        <f>H87*F87</f>
        <v>1.1019283746556474</v>
      </c>
      <c r="L87" s="1">
        <f>J87*C$120</f>
        <v>29672.727272727268</v>
      </c>
    </row>
    <row r="88" spans="2:13" x14ac:dyDescent="0.3">
      <c r="C88" s="5" t="s">
        <v>12</v>
      </c>
      <c r="D88" s="7" t="s">
        <v>49</v>
      </c>
      <c r="E88" s="7"/>
      <c r="F88" s="3">
        <f>K51/27</f>
        <v>31.037037037037038</v>
      </c>
      <c r="G88" s="3"/>
      <c r="H88" s="64">
        <v>20</v>
      </c>
      <c r="I88" s="25"/>
      <c r="J88" s="10">
        <f t="shared" si="2"/>
        <v>620.74074074074076</v>
      </c>
      <c r="L88" s="1">
        <f>J88*C$120</f>
        <v>16715306.666666664</v>
      </c>
    </row>
    <row r="89" spans="2:13" x14ac:dyDescent="0.3">
      <c r="C89" s="11" t="s">
        <v>32</v>
      </c>
      <c r="D89" s="12"/>
      <c r="E89" s="12"/>
      <c r="F89" s="12"/>
      <c r="G89" s="12"/>
      <c r="H89" s="23"/>
      <c r="I89" s="23"/>
      <c r="J89" s="13">
        <f>SUM(J85:J88)</f>
        <v>857.398224670952</v>
      </c>
      <c r="K89" s="36" t="s">
        <v>27</v>
      </c>
      <c r="L89" s="48">
        <f>SUM(L85:L88)</f>
        <v>23088019.393939391</v>
      </c>
    </row>
    <row r="90" spans="2:13" x14ac:dyDescent="0.3">
      <c r="C90" s="5" t="s">
        <v>29</v>
      </c>
      <c r="H90" s="97">
        <v>0.15</v>
      </c>
      <c r="I90" s="26"/>
      <c r="J90" s="2">
        <f>$H90*J89</f>
        <v>128.60973370064281</v>
      </c>
      <c r="L90" s="2">
        <f>$H90*L89</f>
        <v>3463202.9090909087</v>
      </c>
      <c r="M90" s="21" t="s">
        <v>55</v>
      </c>
    </row>
    <row r="91" spans="2:13" x14ac:dyDescent="0.3">
      <c r="C91" s="5" t="s">
        <v>30</v>
      </c>
      <c r="H91" s="97">
        <v>0.05</v>
      </c>
      <c r="I91" s="26"/>
      <c r="J91" s="1">
        <f>$H91*J89</f>
        <v>42.869911233547604</v>
      </c>
      <c r="L91" s="1">
        <f>$H91*L89</f>
        <v>1154400.9696969695</v>
      </c>
      <c r="M91" s="42">
        <f>J91*C120</f>
        <v>1154400.9696969697</v>
      </c>
    </row>
    <row r="92" spans="2:13" x14ac:dyDescent="0.3">
      <c r="C92" s="5" t="s">
        <v>31</v>
      </c>
      <c r="H92" s="97">
        <v>0.15</v>
      </c>
      <c r="I92" s="26"/>
      <c r="J92" s="10">
        <f>$H92*J89</f>
        <v>128.60973370064281</v>
      </c>
      <c r="L92" s="10">
        <f>$H92*L89</f>
        <v>3463202.9090909087</v>
      </c>
    </row>
    <row r="93" spans="2:13" x14ac:dyDescent="0.3">
      <c r="C93" s="11" t="s">
        <v>35</v>
      </c>
      <c r="D93" s="12"/>
      <c r="E93" s="12"/>
      <c r="F93" s="12"/>
      <c r="G93" s="12"/>
      <c r="H93" s="23"/>
      <c r="I93" s="23"/>
      <c r="J93" s="13">
        <f>SUM(J90:J92)</f>
        <v>300.08937863483322</v>
      </c>
      <c r="K93" s="36" t="s">
        <v>27</v>
      </c>
      <c r="L93" s="48">
        <f>SUM(L90:L92)</f>
        <v>8080806.7878787871</v>
      </c>
      <c r="M93" s="42">
        <f>SUM(M90:M92)</f>
        <v>1154400.9696969697</v>
      </c>
    </row>
    <row r="94" spans="2:13" x14ac:dyDescent="0.3">
      <c r="C94" s="11" t="s">
        <v>45</v>
      </c>
      <c r="H94" s="23"/>
      <c r="I94" s="23"/>
      <c r="J94" s="14">
        <f>J93+J89</f>
        <v>1157.4876033057853</v>
      </c>
      <c r="K94" s="36" t="s">
        <v>27</v>
      </c>
      <c r="L94" s="49">
        <f>L93+L89</f>
        <v>31168826.18181818</v>
      </c>
      <c r="M94" s="42">
        <f>M93+M89</f>
        <v>1154400.9696969697</v>
      </c>
    </row>
    <row r="95" spans="2:13" x14ac:dyDescent="0.3">
      <c r="C95" s="5" t="s">
        <v>37</v>
      </c>
      <c r="F95" s="8"/>
      <c r="G95" s="8"/>
      <c r="H95" s="98">
        <v>0.05</v>
      </c>
      <c r="I95" s="27"/>
      <c r="J95" s="2">
        <f>J$94*$H95</f>
        <v>57.874380165289267</v>
      </c>
      <c r="L95" s="1">
        <f>L$94*$H95</f>
        <v>1558441.3090909091</v>
      </c>
      <c r="M95" s="42">
        <f>J95*C120</f>
        <v>1558441.3090909091</v>
      </c>
    </row>
    <row r="96" spans="2:13" x14ac:dyDescent="0.3">
      <c r="C96" s="5" t="s">
        <v>22</v>
      </c>
      <c r="F96" s="8"/>
      <c r="G96" s="8"/>
      <c r="H96" s="27">
        <f>H58</f>
        <v>0.1</v>
      </c>
      <c r="I96" s="27"/>
      <c r="J96" s="2">
        <f>J$94*$H96</f>
        <v>115.74876033057853</v>
      </c>
      <c r="L96" s="1">
        <f>L$94*$H96</f>
        <v>3116882.6181818182</v>
      </c>
      <c r="M96" s="42">
        <f>M$91*H96</f>
        <v>115440.09696969698</v>
      </c>
    </row>
    <row r="97" spans="2:13" x14ac:dyDescent="0.3">
      <c r="C97" s="5" t="s">
        <v>23</v>
      </c>
      <c r="F97" s="8"/>
      <c r="G97" s="8"/>
      <c r="H97" s="98">
        <v>0.05</v>
      </c>
      <c r="I97" s="27"/>
      <c r="J97" s="2">
        <f>J$94*$H97</f>
        <v>57.874380165289267</v>
      </c>
      <c r="L97" s="1">
        <f>L$94*$H97</f>
        <v>1558441.3090909091</v>
      </c>
      <c r="M97" s="42">
        <f>M$91*H97</f>
        <v>57720.048484848492</v>
      </c>
    </row>
    <row r="98" spans="2:13" x14ac:dyDescent="0.3">
      <c r="C98" s="5" t="s">
        <v>24</v>
      </c>
      <c r="F98" s="9"/>
      <c r="G98" s="9"/>
      <c r="H98" s="99">
        <v>0.03</v>
      </c>
      <c r="I98" s="28"/>
      <c r="J98" s="2">
        <f>J$94*$H98</f>
        <v>34.724628099173557</v>
      </c>
      <c r="L98" s="1">
        <f>L$94*$H98</f>
        <v>935064.7854545454</v>
      </c>
      <c r="M98" s="42">
        <f>M$91*H98</f>
        <v>34632.029090909091</v>
      </c>
    </row>
    <row r="99" spans="2:13" x14ac:dyDescent="0.3">
      <c r="C99" s="5" t="s">
        <v>25</v>
      </c>
      <c r="F99" s="9"/>
      <c r="G99" s="9"/>
      <c r="H99" s="99">
        <v>0.05</v>
      </c>
      <c r="I99" s="28"/>
      <c r="J99" s="2">
        <f>J$94*$H99</f>
        <v>57.874380165289267</v>
      </c>
      <c r="L99" s="1">
        <f>L$94*$H99</f>
        <v>1558441.3090909091</v>
      </c>
      <c r="M99" s="42">
        <f>M$91*H99</f>
        <v>57720.048484848492</v>
      </c>
    </row>
    <row r="100" spans="2:13" x14ac:dyDescent="0.3">
      <c r="C100" s="11" t="s">
        <v>34</v>
      </c>
      <c r="H100" s="29"/>
      <c r="I100" s="29"/>
      <c r="J100" s="19">
        <f>SUM(J95:J99)</f>
        <v>324.09652892561991</v>
      </c>
      <c r="K100" s="36" t="s">
        <v>27</v>
      </c>
      <c r="L100" s="50">
        <f>SUM(L95:L99)</f>
        <v>8727271.3309090901</v>
      </c>
      <c r="M100" s="43">
        <f>SUM(M95:M99)</f>
        <v>1823953.5321212122</v>
      </c>
    </row>
    <row r="101" spans="2:13" ht="15.65" thickBot="1" x14ac:dyDescent="0.35">
      <c r="C101" s="11" t="s">
        <v>33</v>
      </c>
      <c r="D101" s="12"/>
      <c r="E101" s="12"/>
      <c r="F101" s="12"/>
      <c r="G101" s="12"/>
      <c r="H101" s="23"/>
      <c r="I101" s="23"/>
      <c r="J101" s="20">
        <f>J100+J94</f>
        <v>1481.5841322314052</v>
      </c>
      <c r="K101" s="36" t="s">
        <v>27</v>
      </c>
      <c r="L101" s="20">
        <f>L100+L94</f>
        <v>39896097.512727268</v>
      </c>
      <c r="M101" s="44">
        <f>M100+M94</f>
        <v>2978354.5018181819</v>
      </c>
    </row>
    <row r="102" spans="2:13" ht="15.65" thickTop="1" x14ac:dyDescent="0.3">
      <c r="C102" s="5" t="s">
        <v>26</v>
      </c>
      <c r="H102" s="100">
        <v>0.25</v>
      </c>
      <c r="I102" s="30"/>
      <c r="J102" s="15">
        <f>J101*H102</f>
        <v>370.3960330578513</v>
      </c>
      <c r="K102" s="37" t="s">
        <v>27</v>
      </c>
      <c r="L102" s="15">
        <f>L101*H102</f>
        <v>9974024.378181817</v>
      </c>
      <c r="M102" s="45">
        <f>M101*H102</f>
        <v>744588.62545454549</v>
      </c>
    </row>
    <row r="103" spans="2:13" x14ac:dyDescent="0.3">
      <c r="C103" s="16" t="s">
        <v>39</v>
      </c>
      <c r="D103" s="17"/>
      <c r="E103" s="17"/>
      <c r="F103" s="17"/>
      <c r="G103" s="17"/>
      <c r="H103" s="17"/>
      <c r="I103" s="17"/>
      <c r="J103" s="18">
        <f>J102+J101</f>
        <v>1851.9801652892565</v>
      </c>
      <c r="K103" s="17" t="s">
        <v>27</v>
      </c>
      <c r="L103" s="18">
        <f>L102+L101</f>
        <v>49870121.890909083</v>
      </c>
      <c r="M103" s="45">
        <f>M102+M101</f>
        <v>3722943.1272727274</v>
      </c>
    </row>
    <row r="105" spans="2:13" x14ac:dyDescent="0.3">
      <c r="K105" s="192" t="s">
        <v>136</v>
      </c>
      <c r="L105" s="192"/>
    </row>
    <row r="106" spans="2:13" x14ac:dyDescent="0.3">
      <c r="B106" s="60" t="s">
        <v>80</v>
      </c>
      <c r="C106" s="6" t="s">
        <v>64</v>
      </c>
      <c r="D106" s="142" t="s">
        <v>97</v>
      </c>
      <c r="E106" s="6" t="s">
        <v>72</v>
      </c>
      <c r="F106" s="6" t="s">
        <v>65</v>
      </c>
      <c r="G106" s="6" t="s">
        <v>66</v>
      </c>
      <c r="H106" s="6" t="s">
        <v>90</v>
      </c>
      <c r="I106" s="59" t="s">
        <v>67</v>
      </c>
      <c r="J106" s="59" t="s">
        <v>68</v>
      </c>
      <c r="K106" s="151" t="s">
        <v>137</v>
      </c>
      <c r="L106" s="151" t="s">
        <v>138</v>
      </c>
    </row>
    <row r="107" spans="2:13" x14ac:dyDescent="0.3">
      <c r="B107" t="s">
        <v>95</v>
      </c>
      <c r="C107" s="39">
        <v>42</v>
      </c>
      <c r="D107" s="143">
        <v>125</v>
      </c>
      <c r="E107" s="7">
        <f>D107/2</f>
        <v>62.5</v>
      </c>
      <c r="F107" s="7">
        <f>D107*4+C107</f>
        <v>542</v>
      </c>
      <c r="G107" s="7">
        <f>(F107+C107)/2</f>
        <v>292</v>
      </c>
      <c r="H107" s="57">
        <f>G107*E107/27</f>
        <v>675.92592592592598</v>
      </c>
      <c r="I107" s="101">
        <v>20</v>
      </c>
      <c r="J107" s="58">
        <f>I107*H107</f>
        <v>13518.51851851852</v>
      </c>
      <c r="K107" s="152">
        <f>1-J107/J$111</f>
        <v>0.67339473512313019</v>
      </c>
      <c r="L107" s="152">
        <f>1-J107/J$112</f>
        <v>0.59766313932980597</v>
      </c>
    </row>
    <row r="108" spans="2:13" x14ac:dyDescent="0.3">
      <c r="B108" t="s">
        <v>96</v>
      </c>
      <c r="C108" s="39">
        <v>42</v>
      </c>
      <c r="D108" s="143">
        <v>125</v>
      </c>
      <c r="E108" s="7">
        <f>D108/2</f>
        <v>62.5</v>
      </c>
      <c r="F108" s="7">
        <f>D108*4+C108</f>
        <v>542</v>
      </c>
      <c r="G108" s="7">
        <f>(F108+C108)/2</f>
        <v>292</v>
      </c>
      <c r="H108" s="57">
        <f>G108*E108/27</f>
        <v>675.92592592592598</v>
      </c>
      <c r="I108" s="58">
        <f>I107</f>
        <v>20</v>
      </c>
      <c r="J108" s="58">
        <f>I108*H108</f>
        <v>13518.51851851852</v>
      </c>
      <c r="K108" s="152">
        <f>1-J108/J$111</f>
        <v>0.67339473512313019</v>
      </c>
      <c r="L108" s="152">
        <f>1-J108/J$112</f>
        <v>0.59766313932980597</v>
      </c>
    </row>
    <row r="109" spans="2:13" x14ac:dyDescent="0.3">
      <c r="B109" t="s">
        <v>81</v>
      </c>
      <c r="C109" s="39">
        <v>42</v>
      </c>
      <c r="D109" s="143">
        <v>75</v>
      </c>
      <c r="E109" s="7">
        <f>D109/2</f>
        <v>37.5</v>
      </c>
      <c r="F109" s="7">
        <f>D109*4+C109</f>
        <v>342</v>
      </c>
      <c r="G109" s="7">
        <f>(F109+C109)/2</f>
        <v>192</v>
      </c>
      <c r="H109" s="57">
        <f>G109*E109/27</f>
        <v>266.66666666666669</v>
      </c>
      <c r="I109" s="58">
        <f>I108</f>
        <v>20</v>
      </c>
      <c r="J109" s="58">
        <f>I109*H109</f>
        <v>5333.3333333333339</v>
      </c>
      <c r="K109" s="41"/>
      <c r="L109" s="41"/>
    </row>
    <row r="110" spans="2:13" x14ac:dyDescent="0.3">
      <c r="C110" s="6" t="s">
        <v>71</v>
      </c>
      <c r="D110" s="7"/>
      <c r="E110" s="7"/>
      <c r="F110" s="7"/>
      <c r="G110" s="7"/>
      <c r="H110" s="57"/>
      <c r="I110" s="6" t="s">
        <v>70</v>
      </c>
      <c r="J110" s="59" t="s">
        <v>68</v>
      </c>
    </row>
    <row r="111" spans="2:13" x14ac:dyDescent="0.3">
      <c r="B111" s="60" t="s">
        <v>69</v>
      </c>
      <c r="C111" s="39">
        <v>42</v>
      </c>
      <c r="D111" s="7"/>
      <c r="E111" s="7"/>
      <c r="F111" s="7"/>
      <c r="G111" s="7"/>
      <c r="H111" s="7"/>
      <c r="I111" s="58">
        <f>J61</f>
        <v>985.50000000000011</v>
      </c>
      <c r="J111" s="58">
        <f>I111*C111</f>
        <v>41391.000000000007</v>
      </c>
    </row>
    <row r="112" spans="2:13" x14ac:dyDescent="0.3">
      <c r="C112" s="39">
        <v>42</v>
      </c>
      <c r="D112" s="7"/>
      <c r="E112" s="7"/>
      <c r="F112" s="7"/>
      <c r="G112" s="7"/>
      <c r="H112" s="7"/>
      <c r="I112" s="153">
        <f>K61</f>
        <v>800</v>
      </c>
      <c r="J112" s="58">
        <f>I112*C112</f>
        <v>33600</v>
      </c>
    </row>
    <row r="113" spans="2:16" x14ac:dyDescent="0.3">
      <c r="C113" s="7"/>
      <c r="D113" s="7"/>
      <c r="E113" s="140"/>
      <c r="F113" s="140" t="s">
        <v>171</v>
      </c>
      <c r="G113" s="140"/>
      <c r="H113" s="7"/>
      <c r="I113" s="155" t="s">
        <v>173</v>
      </c>
      <c r="J113" s="154"/>
      <c r="K113" s="154"/>
    </row>
    <row r="114" spans="2:16" ht="60.75" thickBot="1" x14ac:dyDescent="0.35">
      <c r="B114" s="72" t="s">
        <v>79</v>
      </c>
      <c r="C114" s="73" t="s">
        <v>91</v>
      </c>
      <c r="D114" s="73" t="s">
        <v>92</v>
      </c>
      <c r="E114" s="146" t="s">
        <v>93</v>
      </c>
      <c r="F114" s="138" t="s">
        <v>89</v>
      </c>
      <c r="G114" s="73" t="s">
        <v>94</v>
      </c>
      <c r="H114" s="103" t="s">
        <v>139</v>
      </c>
      <c r="I114" s="73" t="s">
        <v>98</v>
      </c>
      <c r="J114" s="73" t="s">
        <v>99</v>
      </c>
      <c r="K114" s="73" t="s">
        <v>100</v>
      </c>
      <c r="L114" s="73" t="s">
        <v>101</v>
      </c>
      <c r="M114" s="73" t="s">
        <v>102</v>
      </c>
      <c r="N114" s="73" t="s">
        <v>103</v>
      </c>
      <c r="O114" s="73" t="s">
        <v>104</v>
      </c>
      <c r="P114" s="74" t="s">
        <v>105</v>
      </c>
    </row>
    <row r="115" spans="2:16" ht="15.65" thickTop="1" x14ac:dyDescent="0.3">
      <c r="B115" s="65" t="s">
        <v>76</v>
      </c>
      <c r="C115" s="66">
        <v>7830</v>
      </c>
      <c r="D115" s="7">
        <v>1500</v>
      </c>
      <c r="E115" s="145">
        <f>C115-D115</f>
        <v>6330</v>
      </c>
      <c r="F115" s="139">
        <f>E115/E120</f>
        <v>2.8849659698590185E-2</v>
      </c>
      <c r="G115" s="102">
        <v>5305326</v>
      </c>
      <c r="H115" s="70">
        <v>4278611.111111111</v>
      </c>
      <c r="I115" s="7">
        <f>C107</f>
        <v>42</v>
      </c>
      <c r="J115" s="7">
        <f>D107</f>
        <v>125</v>
      </c>
      <c r="K115" s="7">
        <f>F107</f>
        <v>542</v>
      </c>
      <c r="L115" s="7">
        <f>(K115+I115)/2</f>
        <v>292</v>
      </c>
      <c r="M115" s="67">
        <f>L115*J115</f>
        <v>36500</v>
      </c>
      <c r="N115" s="67">
        <f>M115/2</f>
        <v>18250</v>
      </c>
      <c r="O115" s="66">
        <f>E115</f>
        <v>6330</v>
      </c>
      <c r="P115" s="68">
        <f>O115*N115/27</f>
        <v>4278611.111111111</v>
      </c>
    </row>
    <row r="116" spans="2:16" x14ac:dyDescent="0.3">
      <c r="B116" s="65" t="s">
        <v>77</v>
      </c>
      <c r="C116" s="66">
        <v>5690</v>
      </c>
      <c r="D116" s="7">
        <v>1000</v>
      </c>
      <c r="E116" s="145">
        <f t="shared" ref="E116:E117" si="3">C116-D116</f>
        <v>4690</v>
      </c>
      <c r="F116" s="139">
        <f t="shared" ref="F116:F117" si="4">E116/E121</f>
        <v>1.0687591152163348E-2</v>
      </c>
      <c r="G116" s="102">
        <f>H116*G115/H115</f>
        <v>3930802.3601895738</v>
      </c>
      <c r="H116" s="70">
        <v>3170092.5925925928</v>
      </c>
      <c r="P116" t="s">
        <v>106</v>
      </c>
    </row>
    <row r="117" spans="2:16" x14ac:dyDescent="0.3">
      <c r="B117" s="65" t="s">
        <v>78</v>
      </c>
      <c r="C117" s="66">
        <v>2045</v>
      </c>
      <c r="D117" s="7">
        <v>500</v>
      </c>
      <c r="E117" s="145">
        <f t="shared" si="3"/>
        <v>1545</v>
      </c>
      <c r="F117" s="139">
        <f t="shared" si="4"/>
        <v>2.3319268541375977E-3</v>
      </c>
      <c r="G117" s="102">
        <f>H117*G115/H115</f>
        <v>510865.38487307675</v>
      </c>
      <c r="H117" s="70">
        <v>412000.00000000006</v>
      </c>
    </row>
    <row r="118" spans="2:16" ht="11" customHeight="1" x14ac:dyDescent="0.3"/>
    <row r="119" spans="2:16" ht="57" customHeight="1" x14ac:dyDescent="0.3">
      <c r="B119" s="137" t="s">
        <v>113</v>
      </c>
      <c r="C119" s="6" t="s">
        <v>86</v>
      </c>
      <c r="D119" s="62" t="s">
        <v>87</v>
      </c>
      <c r="E119" s="81" t="s">
        <v>88</v>
      </c>
      <c r="I119" s="149" t="s">
        <v>120</v>
      </c>
      <c r="J119" s="62" t="s">
        <v>121</v>
      </c>
      <c r="K119" s="62" t="s">
        <v>123</v>
      </c>
      <c r="L119" s="62" t="s">
        <v>124</v>
      </c>
      <c r="M119" s="62" t="s">
        <v>125</v>
      </c>
      <c r="N119" s="62" t="s">
        <v>126</v>
      </c>
    </row>
    <row r="120" spans="2:16" x14ac:dyDescent="0.3">
      <c r="B120" s="65" t="s">
        <v>82</v>
      </c>
      <c r="C120" s="135">
        <f>H9*5280</f>
        <v>26927.999999999996</v>
      </c>
      <c r="D120" s="7">
        <f>K38</f>
        <v>220</v>
      </c>
      <c r="E120" s="82">
        <f>C120*D120/27</f>
        <v>219413.33333333328</v>
      </c>
      <c r="H120" s="87" t="s">
        <v>82</v>
      </c>
      <c r="I120" s="150">
        <f>E115</f>
        <v>6330</v>
      </c>
      <c r="J120" s="1">
        <f>I120*(J$103-J$87-J$88-J$90-J$91-J$92)</f>
        <v>5887204.5840220405</v>
      </c>
      <c r="K120" s="68">
        <f>(G115-F126)</f>
        <v>4979377.5199999996</v>
      </c>
      <c r="L120" s="178">
        <v>20</v>
      </c>
      <c r="M120" s="89">
        <f>L120*K120</f>
        <v>99587550.399999991</v>
      </c>
      <c r="N120" s="1">
        <f>M120+J120</f>
        <v>105474754.98402204</v>
      </c>
    </row>
    <row r="121" spans="2:16" x14ac:dyDescent="0.3">
      <c r="B121" s="65" t="s">
        <v>83</v>
      </c>
      <c r="C121" s="135">
        <f>F9*5280</f>
        <v>53855.999999999993</v>
      </c>
      <c r="D121" s="7">
        <f>D120</f>
        <v>220</v>
      </c>
      <c r="E121" s="82">
        <f t="shared" ref="E121:E123" si="5">C121*D121/27</f>
        <v>438826.66666666657</v>
      </c>
      <c r="F121" t="s">
        <v>119</v>
      </c>
      <c r="H121" s="87" t="s">
        <v>83</v>
      </c>
      <c r="I121" s="150">
        <f>E116</f>
        <v>4690</v>
      </c>
      <c r="J121" s="1">
        <f t="shared" ref="J121:J122" si="6">I121*(J$103-J$87-J$88-J$90-J$91-J$92)</f>
        <v>4361925.671258037</v>
      </c>
      <c r="K121" s="68">
        <f t="shared" ref="K121:K122" si="7">(G116-F127)</f>
        <v>3278905.4001895739</v>
      </c>
      <c r="L121" s="148">
        <v>12</v>
      </c>
      <c r="M121" s="89">
        <f t="shared" ref="M121:M122" si="8">L121*K121</f>
        <v>39346864.802274883</v>
      </c>
      <c r="N121" s="1">
        <f t="shared" ref="N121:N122" si="9">M121+J121</f>
        <v>43708790.473532923</v>
      </c>
    </row>
    <row r="122" spans="2:16" x14ac:dyDescent="0.3">
      <c r="B122" s="65" t="s">
        <v>84</v>
      </c>
      <c r="C122" s="135">
        <f>D9*5280</f>
        <v>81312</v>
      </c>
      <c r="D122" s="7">
        <f>D120</f>
        <v>220</v>
      </c>
      <c r="E122" s="82">
        <f t="shared" si="5"/>
        <v>662542.22222222225</v>
      </c>
      <c r="H122" s="87" t="s">
        <v>84</v>
      </c>
      <c r="I122" s="150">
        <f>E117</f>
        <v>1545</v>
      </c>
      <c r="J122" s="1">
        <f t="shared" si="6"/>
        <v>1436924.3415977967</v>
      </c>
      <c r="K122" s="95">
        <f t="shared" si="7"/>
        <v>-473371.20179359004</v>
      </c>
      <c r="L122" s="147">
        <v>0</v>
      </c>
      <c r="M122" s="89">
        <f t="shared" si="8"/>
        <v>0</v>
      </c>
      <c r="N122" s="1">
        <f t="shared" si="9"/>
        <v>1436924.3415977967</v>
      </c>
    </row>
    <row r="123" spans="2:16" x14ac:dyDescent="0.3">
      <c r="B123" s="65" t="s">
        <v>85</v>
      </c>
      <c r="C123" s="135">
        <f>C9*5280</f>
        <v>101904</v>
      </c>
      <c r="D123" s="7">
        <f>D120</f>
        <v>220</v>
      </c>
      <c r="E123" s="83">
        <f t="shared" si="5"/>
        <v>830328.88888888888</v>
      </c>
      <c r="K123" s="141"/>
      <c r="L123" s="141"/>
    </row>
    <row r="124" spans="2:16" x14ac:dyDescent="0.3">
      <c r="C124" s="136"/>
    </row>
    <row r="125" spans="2:16" ht="60.1" x14ac:dyDescent="0.3">
      <c r="B125" s="137" t="s">
        <v>114</v>
      </c>
      <c r="C125" s="6" t="s">
        <v>86</v>
      </c>
      <c r="D125" s="62" t="s">
        <v>87</v>
      </c>
      <c r="E125" s="62" t="s">
        <v>88</v>
      </c>
      <c r="F125" s="71" t="s">
        <v>117</v>
      </c>
      <c r="G125" s="84" t="s">
        <v>118</v>
      </c>
      <c r="I125" s="90" t="s">
        <v>129</v>
      </c>
      <c r="J125" s="90" t="s">
        <v>127</v>
      </c>
      <c r="L125" s="144" t="s">
        <v>130</v>
      </c>
      <c r="M125" s="74" t="s">
        <v>131</v>
      </c>
      <c r="N125" s="74" t="s">
        <v>128</v>
      </c>
    </row>
    <row r="126" spans="2:16" x14ac:dyDescent="0.3">
      <c r="B126" s="65" t="s">
        <v>82</v>
      </c>
      <c r="C126" s="67">
        <f>C120</f>
        <v>26927.999999999996</v>
      </c>
      <c r="D126" s="7">
        <f>K52</f>
        <v>544.70000000000005</v>
      </c>
      <c r="E126" s="69">
        <f>C126*D126/27</f>
        <v>543247.46666666667</v>
      </c>
      <c r="F126" s="68">
        <f>E126*0.6</f>
        <v>325948.48</v>
      </c>
      <c r="G126" s="85">
        <f>E126-F126</f>
        <v>217298.98666666669</v>
      </c>
      <c r="I126" s="91">
        <f>D115</f>
        <v>1500</v>
      </c>
      <c r="J126" s="92">
        <f>I126*(J$103-J$87-J$88-J$90-J$91-J$92)</f>
        <v>1395072.1763085404</v>
      </c>
      <c r="L126" s="145">
        <f>C115</f>
        <v>7830</v>
      </c>
      <c r="M126" s="89">
        <f>J61</f>
        <v>985.50000000000011</v>
      </c>
      <c r="N126" s="89">
        <f>M126*L126*38</f>
        <v>293225670.00000006</v>
      </c>
    </row>
    <row r="127" spans="2:16" x14ac:dyDescent="0.3">
      <c r="B127" s="65" t="s">
        <v>83</v>
      </c>
      <c r="C127" s="67">
        <f t="shared" ref="C127:C129" si="10">C121</f>
        <v>53855.999999999993</v>
      </c>
      <c r="D127" s="7">
        <f>D126</f>
        <v>544.70000000000005</v>
      </c>
      <c r="E127" s="69">
        <f t="shared" ref="E127:E129" si="11">C127*D127/27</f>
        <v>1086494.9333333333</v>
      </c>
      <c r="F127" s="68">
        <f>E127*0.6</f>
        <v>651896.96</v>
      </c>
      <c r="G127" s="85">
        <f t="shared" ref="G127:G129" si="12">E127-F127</f>
        <v>434597.97333333339</v>
      </c>
      <c r="I127" s="91">
        <f t="shared" ref="I127:I128" si="13">D116</f>
        <v>1000</v>
      </c>
      <c r="J127" s="92">
        <f t="shared" ref="J127:J128" si="14">I127*(J$103-J$87-J$88-J$90-J$91-J$92)</f>
        <v>930048.11753902701</v>
      </c>
      <c r="L127" s="145">
        <f>C116</f>
        <v>5690</v>
      </c>
      <c r="M127" s="89">
        <f>M126</f>
        <v>985.50000000000011</v>
      </c>
      <c r="N127" s="89">
        <f t="shared" ref="N127:N128" si="15">M127*L127*38</f>
        <v>213084810.00000003</v>
      </c>
    </row>
    <row r="128" spans="2:16" x14ac:dyDescent="0.3">
      <c r="B128" s="65" t="s">
        <v>84</v>
      </c>
      <c r="C128" s="67">
        <f t="shared" si="10"/>
        <v>81312</v>
      </c>
      <c r="D128" s="7">
        <f>D126</f>
        <v>544.70000000000005</v>
      </c>
      <c r="E128" s="69">
        <f t="shared" si="11"/>
        <v>1640394.3111111114</v>
      </c>
      <c r="F128" s="68">
        <f>E128*0.6</f>
        <v>984236.58666666679</v>
      </c>
      <c r="G128" s="85">
        <f t="shared" si="12"/>
        <v>656157.72444444464</v>
      </c>
      <c r="I128" s="91">
        <f t="shared" si="13"/>
        <v>500</v>
      </c>
      <c r="J128" s="92">
        <f t="shared" si="14"/>
        <v>465024.0587695135</v>
      </c>
      <c r="L128" s="145">
        <f>C117</f>
        <v>2045</v>
      </c>
      <c r="M128" s="89">
        <f>M127</f>
        <v>985.50000000000011</v>
      </c>
      <c r="N128" s="89">
        <f t="shared" si="15"/>
        <v>76583205.000000015</v>
      </c>
    </row>
    <row r="129" spans="2:7" x14ac:dyDescent="0.3">
      <c r="B129" s="65" t="s">
        <v>85</v>
      </c>
      <c r="C129" s="67">
        <f t="shared" si="10"/>
        <v>101904</v>
      </c>
      <c r="D129" s="7">
        <f>D126</f>
        <v>544.70000000000005</v>
      </c>
      <c r="E129" s="69">
        <f t="shared" si="11"/>
        <v>2055818.8444444446</v>
      </c>
      <c r="F129" s="68">
        <f>E129*0.6</f>
        <v>1233491.3066666666</v>
      </c>
      <c r="G129" s="86">
        <f t="shared" si="12"/>
        <v>822327.53777777799</v>
      </c>
    </row>
    <row r="131" spans="2:7" x14ac:dyDescent="0.3">
      <c r="B131" s="65" t="s">
        <v>201</v>
      </c>
    </row>
    <row r="132" spans="2:7" x14ac:dyDescent="0.3">
      <c r="B132">
        <v>1</v>
      </c>
      <c r="C132">
        <v>38911</v>
      </c>
      <c r="D132" s="133">
        <f>C132/5280</f>
        <v>7.3695075757575754</v>
      </c>
    </row>
    <row r="133" spans="2:7" x14ac:dyDescent="0.3">
      <c r="B133">
        <v>2</v>
      </c>
      <c r="C133">
        <v>31787</v>
      </c>
      <c r="D133" s="133">
        <f t="shared" ref="D133:D137" si="16">C133/5280</f>
        <v>6.0202651515151517</v>
      </c>
    </row>
    <row r="134" spans="2:7" x14ac:dyDescent="0.3">
      <c r="B134">
        <v>3</v>
      </c>
      <c r="C134">
        <v>29390</v>
      </c>
      <c r="D134" s="133">
        <f t="shared" si="16"/>
        <v>5.5662878787878789</v>
      </c>
      <c r="E134">
        <f>SUM(C132:C134)</f>
        <v>100088</v>
      </c>
      <c r="F134" s="133">
        <f>E134/5280</f>
        <v>18.956060606060607</v>
      </c>
    </row>
    <row r="135" spans="2:7" x14ac:dyDescent="0.3">
      <c r="B135">
        <v>4</v>
      </c>
      <c r="C135">
        <v>31351</v>
      </c>
      <c r="D135" s="133">
        <f t="shared" si="16"/>
        <v>5.9376893939393938</v>
      </c>
      <c r="E135">
        <f>C132+C133+C135</f>
        <v>102049</v>
      </c>
      <c r="F135" s="133">
        <f>E135/5280</f>
        <v>19.327462121212122</v>
      </c>
    </row>
    <row r="136" spans="2:7" x14ac:dyDescent="0.3">
      <c r="B136" s="4" t="s">
        <v>221</v>
      </c>
      <c r="C136">
        <f>C132+C133+C135</f>
        <v>102049</v>
      </c>
      <c r="D136" s="133">
        <f t="shared" si="16"/>
        <v>19.327462121212122</v>
      </c>
    </row>
    <row r="137" spans="2:7" x14ac:dyDescent="0.3">
      <c r="B137" s="4" t="s">
        <v>222</v>
      </c>
      <c r="C137">
        <f>C132+C133+C134</f>
        <v>100088</v>
      </c>
      <c r="D137" s="133">
        <f t="shared" si="16"/>
        <v>18.956060606060607</v>
      </c>
    </row>
  </sheetData>
  <mergeCells count="38">
    <mergeCell ref="K105:L105"/>
    <mergeCell ref="J84:K84"/>
    <mergeCell ref="B83:J83"/>
    <mergeCell ref="B55:J55"/>
    <mergeCell ref="B63:J63"/>
    <mergeCell ref="B56:C57"/>
    <mergeCell ref="J74:K74"/>
    <mergeCell ref="J64:K64"/>
    <mergeCell ref="B73:J73"/>
    <mergeCell ref="B77:J77"/>
    <mergeCell ref="B78:J78"/>
    <mergeCell ref="K62:L63"/>
    <mergeCell ref="B15:I15"/>
    <mergeCell ref="H8:I8"/>
    <mergeCell ref="H9:I9"/>
    <mergeCell ref="H10:I10"/>
    <mergeCell ref="H11:I11"/>
    <mergeCell ref="H12:I12"/>
    <mergeCell ref="D13:E13"/>
    <mergeCell ref="F13:G13"/>
    <mergeCell ref="H13:I13"/>
    <mergeCell ref="D10:E10"/>
    <mergeCell ref="F10:G10"/>
    <mergeCell ref="D11:E11"/>
    <mergeCell ref="D12:E12"/>
    <mergeCell ref="D8:E8"/>
    <mergeCell ref="F8:G8"/>
    <mergeCell ref="F11:G11"/>
    <mergeCell ref="B2:I2"/>
    <mergeCell ref="B3:I3"/>
    <mergeCell ref="B4:I4"/>
    <mergeCell ref="F12:G12"/>
    <mergeCell ref="D9:E9"/>
    <mergeCell ref="F9:G9"/>
    <mergeCell ref="B6:I6"/>
    <mergeCell ref="H7:I7"/>
    <mergeCell ref="D7:E7"/>
    <mergeCell ref="F7:G7"/>
  </mergeCells>
  <printOptions horizontalCentered="1"/>
  <pageMargins left="0.5" right="0.5" top="0.5" bottom="0.5" header="0.3" footer="0.3"/>
  <pageSetup scale="74" fitToHeight="3" orientation="landscape" r:id="rId1"/>
  <rowBreaks count="2" manualBreakCount="2">
    <brk id="25" max="16383" man="1"/>
    <brk id="76" max="16383" man="1"/>
  </rowBreaks>
  <colBreaks count="1" manualBreakCount="1">
    <brk id="10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6A728-0D0E-434A-8D3B-23FAB898A422}">
  <dimension ref="A3:X30"/>
  <sheetViews>
    <sheetView tabSelected="1" workbookViewId="0">
      <selection activeCell="A3" sqref="A3:E3"/>
    </sheetView>
  </sheetViews>
  <sheetFormatPr defaultRowHeight="15.05" x14ac:dyDescent="0.3"/>
  <cols>
    <col min="1" max="1" width="13.33203125" customWidth="1"/>
    <col min="2" max="2" width="13.88671875" customWidth="1"/>
    <col min="3" max="3" width="14.33203125" customWidth="1"/>
    <col min="4" max="4" width="34.88671875" bestFit="1" customWidth="1"/>
    <col min="5" max="5" width="3" bestFit="1" customWidth="1"/>
    <col min="6" max="7" width="7.33203125" customWidth="1"/>
    <col min="8" max="8" width="8.33203125" customWidth="1"/>
    <col min="9" max="9" width="8.6640625" customWidth="1"/>
    <col min="10" max="10" width="7.6640625" customWidth="1"/>
    <col min="11" max="11" width="9.5546875" bestFit="1" customWidth="1"/>
    <col min="12" max="12" width="13.33203125" customWidth="1"/>
    <col min="13" max="13" width="11.44140625" customWidth="1"/>
    <col min="14" max="14" width="1.44140625" hidden="1" customWidth="1"/>
    <col min="15" max="15" width="12" customWidth="1"/>
    <col min="17" max="17" width="15.88671875" bestFit="1" customWidth="1"/>
    <col min="19" max="19" width="12.44140625" customWidth="1"/>
    <col min="20" max="20" width="10" bestFit="1" customWidth="1"/>
    <col min="21" max="21" width="3.44140625" bestFit="1" customWidth="1"/>
    <col min="23" max="23" width="12.5546875" bestFit="1" customWidth="1"/>
  </cols>
  <sheetData>
    <row r="3" spans="1:18" ht="15.05" customHeight="1" x14ac:dyDescent="0.3">
      <c r="A3" s="229" t="s">
        <v>212</v>
      </c>
      <c r="B3" s="230"/>
      <c r="C3" s="230"/>
      <c r="D3" s="230"/>
      <c r="E3" s="231"/>
      <c r="F3" s="211" t="s">
        <v>211</v>
      </c>
      <c r="G3" s="211"/>
      <c r="H3" s="211"/>
      <c r="I3" s="211"/>
      <c r="J3" s="211"/>
      <c r="K3" s="211"/>
      <c r="L3" s="211"/>
      <c r="M3" s="211"/>
      <c r="N3" s="211"/>
      <c r="O3" s="211"/>
      <c r="Q3">
        <v>1000</v>
      </c>
      <c r="R3" t="s">
        <v>197</v>
      </c>
    </row>
    <row r="4" spans="1:18" ht="14.4" customHeight="1" x14ac:dyDescent="0.3">
      <c r="A4" s="198"/>
      <c r="B4" s="201" t="str">
        <f>Sheet1!L7</f>
        <v>MAF</v>
      </c>
      <c r="C4" s="198" t="str">
        <f>Sheet1!M7</f>
        <v>Storage WSE</v>
      </c>
      <c r="D4" s="159" t="s">
        <v>181</v>
      </c>
      <c r="E4" s="173">
        <f>Sheet1!N7</f>
        <v>10</v>
      </c>
      <c r="F4" s="201" t="s">
        <v>175</v>
      </c>
      <c r="G4" s="221" t="s">
        <v>179</v>
      </c>
      <c r="H4" s="222"/>
      <c r="I4" s="223"/>
      <c r="J4" s="201" t="s">
        <v>177</v>
      </c>
      <c r="K4" s="218" t="s">
        <v>189</v>
      </c>
      <c r="L4" s="215" t="s">
        <v>187</v>
      </c>
      <c r="M4" s="212" t="s">
        <v>190</v>
      </c>
      <c r="N4" s="198" t="s">
        <v>192</v>
      </c>
      <c r="O4" s="198" t="s">
        <v>193</v>
      </c>
      <c r="Q4">
        <v>38</v>
      </c>
      <c r="R4" t="s">
        <v>199</v>
      </c>
    </row>
    <row r="5" spans="1:18" ht="14.4" customHeight="1" x14ac:dyDescent="0.3">
      <c r="A5" s="199"/>
      <c r="B5" s="202"/>
      <c r="C5" s="199"/>
      <c r="D5" s="224" t="s">
        <v>182</v>
      </c>
      <c r="E5" s="225"/>
      <c r="F5" s="202"/>
      <c r="G5" s="228" t="s">
        <v>176</v>
      </c>
      <c r="H5" s="228"/>
      <c r="I5" s="158" t="s">
        <v>175</v>
      </c>
      <c r="J5" s="202"/>
      <c r="K5" s="219"/>
      <c r="L5" s="216"/>
      <c r="M5" s="213"/>
      <c r="N5" s="199"/>
      <c r="O5" s="199"/>
    </row>
    <row r="6" spans="1:18" x14ac:dyDescent="0.3">
      <c r="A6" s="200"/>
      <c r="B6" s="203"/>
      <c r="C6" s="200"/>
      <c r="D6" s="226"/>
      <c r="E6" s="227"/>
      <c r="F6" s="203"/>
      <c r="G6" s="175" t="s">
        <v>219</v>
      </c>
      <c r="H6" s="158" t="s">
        <v>218</v>
      </c>
      <c r="I6" s="158" t="s">
        <v>178</v>
      </c>
      <c r="J6" s="203"/>
      <c r="K6" s="220"/>
      <c r="L6" s="217"/>
      <c r="M6" s="214"/>
      <c r="N6" s="200"/>
      <c r="O6" s="200"/>
      <c r="Q6">
        <v>600</v>
      </c>
      <c r="R6" t="s">
        <v>200</v>
      </c>
    </row>
    <row r="7" spans="1:18" x14ac:dyDescent="0.3">
      <c r="A7" s="157"/>
      <c r="B7" s="157">
        <f>Sheet1!L8</f>
        <v>1</v>
      </c>
      <c r="C7" s="157">
        <f>Sheet1!M8</f>
        <v>457</v>
      </c>
      <c r="D7" s="204">
        <f>Sheet1!N8</f>
        <v>467</v>
      </c>
      <c r="E7" s="205"/>
      <c r="F7" s="77">
        <f>F9-W18/1000000</f>
        <v>43.193001917355382</v>
      </c>
      <c r="G7" s="161">
        <v>748</v>
      </c>
      <c r="H7" s="77">
        <f>H9</f>
        <v>22.7392</v>
      </c>
      <c r="I7" s="77">
        <f>I8</f>
        <v>29.727243491577291</v>
      </c>
      <c r="J7" s="77">
        <f>W19/1000000</f>
        <v>95</v>
      </c>
      <c r="K7" s="162">
        <f>SUM(F7:J7)-G7</f>
        <v>190.65944540893258</v>
      </c>
      <c r="L7" s="164" t="s">
        <v>188</v>
      </c>
      <c r="M7" s="163">
        <f>K7</f>
        <v>190.65944540893258</v>
      </c>
      <c r="N7" s="166">
        <v>0</v>
      </c>
      <c r="O7" s="166">
        <f>N7+M7</f>
        <v>190.65944540893258</v>
      </c>
      <c r="Q7" s="167">
        <f>Q3*Q4*Q6</f>
        <v>22800000</v>
      </c>
    </row>
    <row r="8" spans="1:18" x14ac:dyDescent="0.3">
      <c r="A8" s="157"/>
      <c r="B8" s="157">
        <f>Sheet1!L8</f>
        <v>1</v>
      </c>
      <c r="C8" s="157">
        <f>Sheet1!M8</f>
        <v>457</v>
      </c>
      <c r="D8" s="204">
        <f>Sheet1!N8</f>
        <v>467</v>
      </c>
      <c r="E8" s="205"/>
      <c r="F8" s="77">
        <f>[1]Sheet1!$H$17+[1]Sheet1!$H$18+[1]Sheet1!$H$19</f>
        <v>46.897001917355382</v>
      </c>
      <c r="G8" s="161">
        <f>G7</f>
        <v>748</v>
      </c>
      <c r="H8" s="77">
        <f>[2]Sheet1!$H$21</f>
        <v>22.7392</v>
      </c>
      <c r="I8" s="77">
        <f>[1]Sheet1!$H$20</f>
        <v>29.727243491577291</v>
      </c>
      <c r="J8" s="77">
        <v>0</v>
      </c>
      <c r="K8" s="162">
        <f t="shared" ref="K8:K12" si="0">SUM(F8:J8)-G8</f>
        <v>99.363445408932648</v>
      </c>
      <c r="L8" s="164" t="s">
        <v>188</v>
      </c>
      <c r="M8" s="163">
        <f>K8</f>
        <v>99.363445408932648</v>
      </c>
      <c r="N8" s="166">
        <v>0</v>
      </c>
      <c r="O8" s="166">
        <f t="shared" ref="O8:O12" si="1">N8+M8</f>
        <v>99.363445408932648</v>
      </c>
    </row>
    <row r="9" spans="1:18" x14ac:dyDescent="0.3">
      <c r="A9" s="157"/>
      <c r="B9" s="157">
        <f>Sheet1!L9</f>
        <v>1</v>
      </c>
      <c r="C9" s="157">
        <f>Sheet1!M9</f>
        <v>457</v>
      </c>
      <c r="D9" s="204">
        <f>Sheet1!N9</f>
        <v>467</v>
      </c>
      <c r="E9" s="205"/>
      <c r="F9" s="77">
        <f>[2]Sheet1!$H$17+[2]Sheet1!$H$18+[2]Sheet1!$H$19</f>
        <v>46.897001917355382</v>
      </c>
      <c r="G9" s="161">
        <f>G7</f>
        <v>748</v>
      </c>
      <c r="H9" s="77">
        <f>[2]Sheet1!$H$21</f>
        <v>22.7392</v>
      </c>
      <c r="I9" s="77">
        <f>[2]Sheet1!$H$20</f>
        <v>78.931598492125218</v>
      </c>
      <c r="J9" s="77">
        <v>0</v>
      </c>
      <c r="K9" s="162">
        <f t="shared" si="0"/>
        <v>148.56780040948058</v>
      </c>
      <c r="L9" s="165">
        <f>(K12-K9)*(1+Q15)</f>
        <v>64.839433555307934</v>
      </c>
      <c r="M9" s="163">
        <f>K9+L9</f>
        <v>213.40723396478853</v>
      </c>
      <c r="N9" s="166">
        <v>0</v>
      </c>
      <c r="O9" s="166">
        <f t="shared" si="1"/>
        <v>213.40723396478853</v>
      </c>
      <c r="Q9">
        <f>(D12-D8)*4</f>
        <v>252</v>
      </c>
      <c r="R9" t="s">
        <v>198</v>
      </c>
    </row>
    <row r="10" spans="1:18" x14ac:dyDescent="0.3">
      <c r="A10" s="157"/>
      <c r="B10" s="157">
        <f>Sheet1!L10</f>
        <v>1.3</v>
      </c>
      <c r="C10" s="161">
        <f>Sheet1!M10</f>
        <v>480.625</v>
      </c>
      <c r="D10" s="206">
        <f>Sheet1!N10</f>
        <v>490.625</v>
      </c>
      <c r="E10" s="207"/>
      <c r="F10" s="77">
        <f>[3]Sheet1!$H$17+[3]Sheet1!$H$18+[3]Sheet1!$H$19</f>
        <v>46.897001917355382</v>
      </c>
      <c r="G10" s="161">
        <v>844</v>
      </c>
      <c r="H10" s="77">
        <f>[3]Sheet1!$H$21</f>
        <v>25.660640000000001</v>
      </c>
      <c r="I10" s="77">
        <f>[3]Sheet1!$H$20</f>
        <v>53.247733012444819</v>
      </c>
      <c r="J10" s="77">
        <v>0</v>
      </c>
      <c r="K10" s="162">
        <f t="shared" si="0"/>
        <v>125.80537492980011</v>
      </c>
      <c r="L10" s="164" t="s">
        <v>188</v>
      </c>
      <c r="M10" s="163">
        <f>K10</f>
        <v>125.80537492980011</v>
      </c>
      <c r="N10" s="166">
        <v>0</v>
      </c>
      <c r="O10" s="166">
        <f t="shared" si="1"/>
        <v>125.80537492980011</v>
      </c>
      <c r="Q10">
        <f>Q4</f>
        <v>38</v>
      </c>
      <c r="R10" t="s">
        <v>199</v>
      </c>
    </row>
    <row r="11" spans="1:18" x14ac:dyDescent="0.3">
      <c r="A11" s="157"/>
      <c r="B11" s="157">
        <f>B10</f>
        <v>1.3</v>
      </c>
      <c r="C11" s="161">
        <f>Sheet1!M10</f>
        <v>480.625</v>
      </c>
      <c r="D11" s="206">
        <f>Sheet1!N10</f>
        <v>490.625</v>
      </c>
      <c r="E11" s="207"/>
      <c r="F11" s="77">
        <f>[4]Sheet1!$H$17+[4]Sheet1!$H$18+[4]Sheet1!$H$19</f>
        <v>46.897001917355382</v>
      </c>
      <c r="G11" s="161">
        <f>G10</f>
        <v>844</v>
      </c>
      <c r="H11" s="77">
        <f>[4]Sheet1!$H$21</f>
        <v>25.660640000000001</v>
      </c>
      <c r="I11" s="77">
        <f>[4]Sheet1!$H$20</f>
        <v>97.4863682851215</v>
      </c>
      <c r="J11" s="77">
        <v>0</v>
      </c>
      <c r="K11" s="162">
        <f t="shared" si="0"/>
        <v>170.04401020247678</v>
      </c>
      <c r="L11" s="165">
        <f>(K12-K11)*(1+Q15)</f>
        <v>35.24521646055917</v>
      </c>
      <c r="M11" s="163">
        <f>K11+L11</f>
        <v>205.28922666303595</v>
      </c>
      <c r="N11" s="166">
        <v>0</v>
      </c>
      <c r="O11" s="166">
        <f>N11+M11</f>
        <v>205.28922666303595</v>
      </c>
      <c r="Q11">
        <v>600</v>
      </c>
      <c r="R11" t="s">
        <v>200</v>
      </c>
    </row>
    <row r="12" spans="1:18" x14ac:dyDescent="0.3">
      <c r="A12" s="157"/>
      <c r="B12" s="157">
        <f>Sheet1!L11</f>
        <v>1.8</v>
      </c>
      <c r="C12" s="157">
        <f>Sheet1!M11</f>
        <v>520</v>
      </c>
      <c r="D12" s="204">
        <f>Sheet1!N11</f>
        <v>530</v>
      </c>
      <c r="E12" s="205"/>
      <c r="F12" s="77">
        <f>Sheet1!H17+Sheet1!H18+Sheet1!H19</f>
        <v>44.546335378512403</v>
      </c>
      <c r="G12" s="161">
        <v>1500</v>
      </c>
      <c r="H12" s="77">
        <f>Sheet1!H21</f>
        <v>45.6</v>
      </c>
      <c r="I12" s="77">
        <f>Sheet1!H20</f>
        <v>105.47475498402204</v>
      </c>
      <c r="J12" s="77">
        <v>0</v>
      </c>
      <c r="K12" s="162">
        <f t="shared" si="0"/>
        <v>195.62109036253423</v>
      </c>
      <c r="L12" s="164" t="s">
        <v>191</v>
      </c>
      <c r="M12" s="163">
        <f>K12</f>
        <v>195.62109036253423</v>
      </c>
      <c r="N12" s="166">
        <v>0</v>
      </c>
      <c r="O12" s="166">
        <f t="shared" si="1"/>
        <v>195.62109036253423</v>
      </c>
      <c r="Q12" s="167">
        <f>Q9*Q10*Q11</f>
        <v>5745600</v>
      </c>
    </row>
    <row r="13" spans="1:18" x14ac:dyDescent="0.3">
      <c r="Q13" s="168">
        <f>Q12/Q7</f>
        <v>0.252</v>
      </c>
    </row>
    <row r="14" spans="1:18" x14ac:dyDescent="0.3">
      <c r="F14" s="2"/>
      <c r="G14" s="2"/>
      <c r="H14" s="1"/>
      <c r="I14" s="1"/>
      <c r="K14" s="2"/>
      <c r="L14" s="2"/>
      <c r="M14" s="2"/>
      <c r="Q14">
        <v>1.5</v>
      </c>
      <c r="R14" t="s">
        <v>26</v>
      </c>
    </row>
    <row r="15" spans="1:18" x14ac:dyDescent="0.3">
      <c r="Q15" s="168">
        <f>Q14*Q13</f>
        <v>0.378</v>
      </c>
    </row>
    <row r="17" spans="1:24" x14ac:dyDescent="0.3">
      <c r="A17" s="208" t="s">
        <v>194</v>
      </c>
      <c r="B17" s="209"/>
      <c r="C17" s="210"/>
      <c r="Q17" s="60" t="s">
        <v>183</v>
      </c>
      <c r="V17" s="60" t="s">
        <v>186</v>
      </c>
      <c r="W17" s="60" t="s">
        <v>206</v>
      </c>
    </row>
    <row r="18" spans="1:24" x14ac:dyDescent="0.3">
      <c r="A18" s="198" t="s">
        <v>202</v>
      </c>
      <c r="B18" s="198" t="s">
        <v>204</v>
      </c>
      <c r="C18" s="198" t="s">
        <v>203</v>
      </c>
      <c r="S18" s="4" t="s">
        <v>207</v>
      </c>
      <c r="T18" s="160">
        <v>1852</v>
      </c>
      <c r="U18" t="s">
        <v>185</v>
      </c>
      <c r="V18">
        <v>2000</v>
      </c>
      <c r="W18" s="172">
        <f>V18*T18</f>
        <v>3704000</v>
      </c>
      <c r="X18" s="172"/>
    </row>
    <row r="19" spans="1:24" x14ac:dyDescent="0.3">
      <c r="A19" s="200"/>
      <c r="B19" s="200"/>
      <c r="C19" s="200"/>
      <c r="S19" s="4" t="s">
        <v>184</v>
      </c>
      <c r="T19" s="160">
        <v>100000</v>
      </c>
      <c r="U19" t="s">
        <v>185</v>
      </c>
      <c r="V19">
        <v>950</v>
      </c>
      <c r="W19" s="172">
        <f>V19*T19</f>
        <v>95000000</v>
      </c>
      <c r="X19" s="172"/>
    </row>
    <row r="20" spans="1:24" x14ac:dyDescent="0.3">
      <c r="A20" s="157">
        <v>1</v>
      </c>
      <c r="B20" s="169">
        <f>Sheet1!D132</f>
        <v>7.3695075757575754</v>
      </c>
      <c r="C20" s="171">
        <f>B20*Sheet1!K$15</f>
        <v>85.323494116528934</v>
      </c>
    </row>
    <row r="21" spans="1:24" x14ac:dyDescent="0.3">
      <c r="A21" s="157">
        <v>2</v>
      </c>
      <c r="B21" s="169">
        <f>Sheet1!D133</f>
        <v>6.0202651515151517</v>
      </c>
      <c r="C21" s="171">
        <f>B21*Sheet1!K$15</f>
        <v>69.702087005785131</v>
      </c>
    </row>
    <row r="22" spans="1:24" x14ac:dyDescent="0.3">
      <c r="A22" s="157">
        <v>3</v>
      </c>
      <c r="B22" s="169">
        <f>Sheet1!D134</f>
        <v>5.5662878787878789</v>
      </c>
      <c r="C22" s="171">
        <f>B22*Sheet1!K$15</f>
        <v>64.445979082644641</v>
      </c>
      <c r="Q22" s="60" t="s">
        <v>213</v>
      </c>
    </row>
    <row r="23" spans="1:24" x14ac:dyDescent="0.3">
      <c r="A23" s="157">
        <v>4</v>
      </c>
      <c r="B23" s="169">
        <f>Sheet1!D135</f>
        <v>5.9376893939393938</v>
      </c>
      <c r="C23" s="171">
        <f>B23*Sheet1!K$15</f>
        <v>68.746032331404962</v>
      </c>
      <c r="Q23" s="167">
        <v>378000000</v>
      </c>
    </row>
    <row r="24" spans="1:24" x14ac:dyDescent="0.3">
      <c r="A24" s="170" t="s">
        <v>205</v>
      </c>
      <c r="B24" s="170"/>
      <c r="C24" s="77">
        <f>C20+C21+C23</f>
        <v>223.77161345371903</v>
      </c>
      <c r="Q24">
        <v>38</v>
      </c>
      <c r="R24" t="s">
        <v>214</v>
      </c>
    </row>
    <row r="25" spans="1:24" x14ac:dyDescent="0.3">
      <c r="A25" s="170" t="s">
        <v>220</v>
      </c>
      <c r="B25" s="170"/>
      <c r="C25" s="77">
        <f>C20+C21+C22</f>
        <v>219.47156020495871</v>
      </c>
      <c r="Q25" s="70">
        <f>20260-12425</f>
        <v>7835</v>
      </c>
      <c r="R25" t="s">
        <v>215</v>
      </c>
    </row>
    <row r="26" spans="1:24" x14ac:dyDescent="0.3">
      <c r="Q26" s="70">
        <f>Q25*Q24</f>
        <v>297730</v>
      </c>
      <c r="R26" t="s">
        <v>216</v>
      </c>
    </row>
    <row r="27" spans="1:24" x14ac:dyDescent="0.3">
      <c r="A27" s="60" t="s">
        <v>208</v>
      </c>
      <c r="Q27" s="174">
        <f>Q23/Q26</f>
        <v>1269.6066906257347</v>
      </c>
      <c r="R27" t="s">
        <v>217</v>
      </c>
    </row>
    <row r="28" spans="1:24" x14ac:dyDescent="0.3">
      <c r="A28" t="s">
        <v>210</v>
      </c>
      <c r="B28" s="167">
        <v>7517</v>
      </c>
      <c r="C28" t="s">
        <v>209</v>
      </c>
    </row>
    <row r="29" spans="1:24" x14ac:dyDescent="0.3">
      <c r="A29" t="s">
        <v>176</v>
      </c>
    </row>
    <row r="30" spans="1:24" x14ac:dyDescent="0.3">
      <c r="T30" s="2"/>
    </row>
  </sheetData>
  <mergeCells count="25">
    <mergeCell ref="A3:E3"/>
    <mergeCell ref="D7:E7"/>
    <mergeCell ref="D9:E9"/>
    <mergeCell ref="D12:E12"/>
    <mergeCell ref="D11:E11"/>
    <mergeCell ref="A17:C17"/>
    <mergeCell ref="O4:O6"/>
    <mergeCell ref="F3:O3"/>
    <mergeCell ref="M4:M6"/>
    <mergeCell ref="N4:N6"/>
    <mergeCell ref="D10:E10"/>
    <mergeCell ref="L4:L6"/>
    <mergeCell ref="D8:E8"/>
    <mergeCell ref="J4:J6"/>
    <mergeCell ref="K4:K6"/>
    <mergeCell ref="F4:F6"/>
    <mergeCell ref="G4:I4"/>
    <mergeCell ref="D5:E6"/>
    <mergeCell ref="G5:H5"/>
    <mergeCell ref="A4:A6"/>
    <mergeCell ref="B4:B6"/>
    <mergeCell ref="C4:C6"/>
    <mergeCell ref="A18:A19"/>
    <mergeCell ref="B18:B19"/>
    <mergeCell ref="C18:C1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3AD1A-F74D-4E05-8E61-1D9B051E3236}">
  <dimension ref="B1:H28"/>
  <sheetViews>
    <sheetView showGridLines="0" topLeftCell="A7" zoomScale="130" zoomScaleNormal="130" workbookViewId="0">
      <selection activeCell="C22" sqref="C22"/>
    </sheetView>
  </sheetViews>
  <sheetFormatPr defaultRowHeight="15.05" x14ac:dyDescent="0.3"/>
  <cols>
    <col min="1" max="1" width="4" customWidth="1"/>
    <col min="2" max="2" width="29.6640625" bestFit="1" customWidth="1"/>
    <col min="3" max="3" width="9.5546875" bestFit="1" customWidth="1"/>
    <col min="4" max="4" width="11.44140625" bestFit="1" customWidth="1"/>
    <col min="5" max="5" width="9.6640625" bestFit="1" customWidth="1"/>
    <col min="7" max="7" width="4.109375" customWidth="1"/>
  </cols>
  <sheetData>
    <row r="1" spans="2:7" x14ac:dyDescent="0.3">
      <c r="B1" s="179" t="s">
        <v>156</v>
      </c>
      <c r="C1" s="179"/>
      <c r="D1" s="179"/>
      <c r="E1" s="179"/>
      <c r="F1" s="179"/>
    </row>
    <row r="2" spans="2:7" x14ac:dyDescent="0.3">
      <c r="B2" s="179" t="s">
        <v>157</v>
      </c>
      <c r="C2" s="179"/>
      <c r="D2" s="179"/>
      <c r="E2" s="179"/>
      <c r="F2" s="179"/>
    </row>
    <row r="3" spans="2:7" x14ac:dyDescent="0.3">
      <c r="B3" s="180">
        <v>43857</v>
      </c>
      <c r="C3" s="180"/>
      <c r="D3" s="180"/>
      <c r="E3" s="180"/>
      <c r="F3" s="180"/>
    </row>
    <row r="4" spans="2:7" x14ac:dyDescent="0.3">
      <c r="B4" s="128"/>
      <c r="C4" s="128"/>
      <c r="D4" s="128"/>
      <c r="E4" s="128"/>
      <c r="F4" s="128"/>
    </row>
    <row r="5" spans="2:7" x14ac:dyDescent="0.3">
      <c r="C5" s="232" t="s">
        <v>153</v>
      </c>
      <c r="D5" s="194"/>
      <c r="E5" s="194"/>
      <c r="F5" s="233"/>
    </row>
    <row r="6" spans="2:7" x14ac:dyDescent="0.3">
      <c r="B6" s="32" t="s">
        <v>7</v>
      </c>
      <c r="C6" s="120" t="s">
        <v>148</v>
      </c>
      <c r="D6" s="118" t="s">
        <v>147</v>
      </c>
      <c r="E6" s="117" t="s">
        <v>146</v>
      </c>
      <c r="F6" s="56" t="s">
        <v>145</v>
      </c>
    </row>
    <row r="7" spans="2:7" x14ac:dyDescent="0.3">
      <c r="B7" s="32" t="s">
        <v>8</v>
      </c>
      <c r="C7" s="121">
        <f>5.3030303030303+1.03+0.89+0.56+2.45</f>
        <v>10.233030303030301</v>
      </c>
      <c r="D7" s="121">
        <f>9.09090909090909+1.03+2.45</f>
        <v>12.57090909090909</v>
      </c>
      <c r="E7" s="121">
        <f>14.3939393939394+1.03</f>
        <v>15.423939393939399</v>
      </c>
      <c r="F7" s="121">
        <v>18.560606060606062</v>
      </c>
    </row>
    <row r="8" spans="2:7" hidden="1" x14ac:dyDescent="0.3">
      <c r="B8" s="51" t="s">
        <v>135</v>
      </c>
      <c r="C8" s="119">
        <v>1500</v>
      </c>
      <c r="D8" s="119">
        <v>1000</v>
      </c>
      <c r="E8" s="119">
        <v>500</v>
      </c>
      <c r="F8" s="119">
        <v>0</v>
      </c>
    </row>
    <row r="9" spans="2:7" hidden="1" x14ac:dyDescent="0.3">
      <c r="B9" s="51" t="s">
        <v>134</v>
      </c>
      <c r="C9" s="119">
        <v>7830</v>
      </c>
      <c r="D9" s="119">
        <v>5690</v>
      </c>
      <c r="E9" s="119">
        <v>2045</v>
      </c>
      <c r="F9" s="119">
        <v>0</v>
      </c>
    </row>
    <row r="10" spans="2:7" x14ac:dyDescent="0.3">
      <c r="B10" s="51" t="s">
        <v>160</v>
      </c>
      <c r="C10" s="122">
        <v>35</v>
      </c>
      <c r="D10" s="122">
        <v>30</v>
      </c>
      <c r="E10" s="122">
        <v>30</v>
      </c>
      <c r="F10" s="122">
        <v>30</v>
      </c>
    </row>
    <row r="11" spans="2:7" x14ac:dyDescent="0.3">
      <c r="B11" s="51" t="s">
        <v>149</v>
      </c>
      <c r="C11" s="119">
        <f>C7/C10*60</f>
        <v>17.542337662337658</v>
      </c>
      <c r="D11" s="122">
        <f>D7/D10*60</f>
        <v>25.141818181818181</v>
      </c>
      <c r="E11" s="122">
        <f>E7/E10*60</f>
        <v>30.847878787878798</v>
      </c>
      <c r="F11" s="122">
        <f>F7/F10*60</f>
        <v>37.121212121212125</v>
      </c>
    </row>
    <row r="12" spans="2:7" x14ac:dyDescent="0.3">
      <c r="B12" s="125" t="s">
        <v>158</v>
      </c>
      <c r="C12" s="127">
        <f>C11-C11</f>
        <v>0</v>
      </c>
      <c r="D12" s="68">
        <f>C11-D11</f>
        <v>-7.5994805194805224</v>
      </c>
      <c r="E12" s="68">
        <f>C11-E11</f>
        <v>-13.30554112554114</v>
      </c>
      <c r="F12" s="68">
        <f>C11-F11</f>
        <v>-19.578874458874466</v>
      </c>
    </row>
    <row r="13" spans="2:7" x14ac:dyDescent="0.3">
      <c r="D13" s="126">
        <f>D7/$C$7</f>
        <v>1.228463975835826</v>
      </c>
      <c r="E13" s="126">
        <f>E7/$C$7</f>
        <v>1.5072699813438368</v>
      </c>
      <c r="F13" s="126">
        <f>F7/$C$7</f>
        <v>1.8137937161301791</v>
      </c>
      <c r="G13" t="s">
        <v>150</v>
      </c>
    </row>
    <row r="14" spans="2:7" x14ac:dyDescent="0.3">
      <c r="C14">
        <v>38.67</v>
      </c>
      <c r="D14">
        <v>52.22</v>
      </c>
      <c r="E14">
        <v>61.99</v>
      </c>
      <c r="F14">
        <v>70.900000000000006</v>
      </c>
      <c r="G14" t="s">
        <v>151</v>
      </c>
    </row>
    <row r="15" spans="2:7" x14ac:dyDescent="0.3">
      <c r="D15" s="126">
        <f>D14/$C$14</f>
        <v>1.3504008275148693</v>
      </c>
      <c r="E15" s="126">
        <f t="shared" ref="E15:F15" si="0">E14/$C$14</f>
        <v>1.6030514610809412</v>
      </c>
      <c r="F15" s="126">
        <f t="shared" si="0"/>
        <v>1.8334626325316783</v>
      </c>
      <c r="G15" t="s">
        <v>152</v>
      </c>
    </row>
    <row r="16" spans="2:7" x14ac:dyDescent="0.3">
      <c r="C16">
        <f>C14+23.63</f>
        <v>62.3</v>
      </c>
      <c r="D16">
        <f>D14+23.63</f>
        <v>75.849999999999994</v>
      </c>
      <c r="E16">
        <f>E14+23.63</f>
        <v>85.62</v>
      </c>
      <c r="F16">
        <v>72.290000000000006</v>
      </c>
    </row>
    <row r="17" spans="2:8" x14ac:dyDescent="0.3">
      <c r="C17" s="126">
        <f>C16/C14</f>
        <v>1.6110680113783293</v>
      </c>
      <c r="D17" s="126">
        <f t="shared" ref="D17:F17" si="1">D16/D14</f>
        <v>1.452508617387974</v>
      </c>
      <c r="E17" s="126">
        <f t="shared" si="1"/>
        <v>1.381190514599129</v>
      </c>
      <c r="F17" s="126">
        <f t="shared" si="1"/>
        <v>1.0196050775740479</v>
      </c>
      <c r="G17" t="s">
        <v>154</v>
      </c>
    </row>
    <row r="18" spans="2:8" x14ac:dyDescent="0.3">
      <c r="B18" s="129" t="s">
        <v>159</v>
      </c>
    </row>
    <row r="20" spans="2:8" x14ac:dyDescent="0.3">
      <c r="C20" s="232" t="s">
        <v>155</v>
      </c>
      <c r="D20" s="194"/>
      <c r="E20" s="194"/>
      <c r="F20" s="233"/>
      <c r="H20" s="131" t="s">
        <v>161</v>
      </c>
    </row>
    <row r="21" spans="2:8" x14ac:dyDescent="0.3">
      <c r="B21" s="32" t="s">
        <v>7</v>
      </c>
      <c r="C21" s="120" t="s">
        <v>148</v>
      </c>
      <c r="D21" s="124" t="s">
        <v>147</v>
      </c>
      <c r="E21" s="123" t="s">
        <v>146</v>
      </c>
      <c r="F21" s="56" t="s">
        <v>145</v>
      </c>
    </row>
    <row r="22" spans="2:8" x14ac:dyDescent="0.3">
      <c r="B22" s="32" t="s">
        <v>8</v>
      </c>
      <c r="C22" s="121">
        <f>C7*C17</f>
        <v>16.486107780677209</v>
      </c>
      <c r="D22" s="121">
        <f t="shared" ref="D22:F22" si="2">D7*D17</f>
        <v>18.259353782946278</v>
      </c>
      <c r="E22" s="121">
        <f t="shared" si="2"/>
        <v>21.303398788660935</v>
      </c>
      <c r="F22" s="121">
        <f t="shared" si="2"/>
        <v>18.924488182245589</v>
      </c>
    </row>
    <row r="23" spans="2:8" hidden="1" x14ac:dyDescent="0.3">
      <c r="B23" s="51" t="s">
        <v>135</v>
      </c>
      <c r="C23" s="122">
        <v>1500</v>
      </c>
      <c r="D23" s="122">
        <v>1000</v>
      </c>
      <c r="E23" s="122">
        <v>500</v>
      </c>
      <c r="F23" s="122">
        <v>0</v>
      </c>
    </row>
    <row r="24" spans="2:8" hidden="1" x14ac:dyDescent="0.3">
      <c r="B24" s="51" t="s">
        <v>134</v>
      </c>
      <c r="C24" s="122">
        <v>7830</v>
      </c>
      <c r="D24" s="122">
        <v>5690</v>
      </c>
      <c r="E24" s="122">
        <v>2045</v>
      </c>
      <c r="F24" s="122">
        <v>0</v>
      </c>
    </row>
    <row r="25" spans="2:8" x14ac:dyDescent="0.3">
      <c r="B25" s="51" t="s">
        <v>160</v>
      </c>
      <c r="C25" s="122">
        <v>35</v>
      </c>
      <c r="D25" s="122">
        <v>30</v>
      </c>
      <c r="E25" s="122">
        <v>30</v>
      </c>
      <c r="F25" s="122">
        <v>30</v>
      </c>
    </row>
    <row r="26" spans="2:8" x14ac:dyDescent="0.3">
      <c r="B26" s="51" t="s">
        <v>149</v>
      </c>
      <c r="C26" s="122">
        <f>C22/C25*60</f>
        <v>28.261899052589502</v>
      </c>
      <c r="D26" s="122">
        <f>D22/D25*60</f>
        <v>36.518707565892555</v>
      </c>
      <c r="E26" s="122">
        <f>E22/E25*60</f>
        <v>42.606797577321871</v>
      </c>
      <c r="F26" s="122">
        <f>F22/F25*60</f>
        <v>37.848976364491179</v>
      </c>
    </row>
    <row r="27" spans="2:8" x14ac:dyDescent="0.3">
      <c r="B27" s="125" t="s">
        <v>158</v>
      </c>
      <c r="C27" s="127">
        <f>C26-C26</f>
        <v>0</v>
      </c>
      <c r="D27" s="68">
        <f>C26-D26</f>
        <v>-8.2568085133030529</v>
      </c>
      <c r="E27" s="68">
        <f>C26-E26</f>
        <v>-14.344898524732368</v>
      </c>
      <c r="F27" s="68">
        <f>C26-F26</f>
        <v>-9.5870773119016768</v>
      </c>
    </row>
    <row r="28" spans="2:8" x14ac:dyDescent="0.3">
      <c r="B28" s="129" t="s">
        <v>162</v>
      </c>
    </row>
  </sheetData>
  <mergeCells count="5">
    <mergeCell ref="C5:F5"/>
    <mergeCell ref="C20:F20"/>
    <mergeCell ref="B1:F1"/>
    <mergeCell ref="B2:F2"/>
    <mergeCell ref="B3:F3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Alts Summary</vt:lpstr>
      <vt:lpstr>Time of Travel</vt:lpstr>
      <vt:lpstr>Sheet1!Print_Area</vt:lpstr>
      <vt:lpstr>'Time of Travel'!Print_Area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Michael, Howard</dc:creator>
  <cp:lastModifiedBy>Herrin, Jeff</cp:lastModifiedBy>
  <cp:lastPrinted>2020-01-28T02:49:48Z</cp:lastPrinted>
  <dcterms:created xsi:type="dcterms:W3CDTF">2019-07-02T19:05:21Z</dcterms:created>
  <dcterms:modified xsi:type="dcterms:W3CDTF">2020-02-14T17:27:28Z</dcterms:modified>
</cp:coreProperties>
</file>