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freder\Documents\SITES RESERVOIR\Affordability\DECISION SUPPORT\"/>
    </mc:Choice>
  </mc:AlternateContent>
  <bookViews>
    <workbookView xWindow="600" yWindow="420" windowWidth="23400" windowHeight="9860"/>
  </bookViews>
  <sheets>
    <sheet name="Tables" sheetId="1" r:id="rId1"/>
    <sheet name="Table 4 Weighting" sheetId="6" r:id="rId2"/>
  </sheets>
  <definedNames>
    <definedName name="MaxValue" comment="Used to Normalize the values by dividing by the max value">Tables!$Q$1</definedName>
    <definedName name="_xlnm.Print_Area" localSheetId="0">Tables!$A$1:$J$31</definedName>
  </definedNames>
  <calcPr calcId="152511"/>
</workbook>
</file>

<file path=xl/calcChain.xml><?xml version="1.0" encoding="utf-8"?>
<calcChain xmlns="http://schemas.openxmlformats.org/spreadsheetml/2006/main">
  <c r="I18" i="1" l="1"/>
  <c r="I19" i="1"/>
  <c r="I20" i="1"/>
  <c r="H20" i="1"/>
  <c r="H19" i="1"/>
  <c r="G18" i="1"/>
  <c r="G19" i="1"/>
  <c r="I30" i="1" l="1"/>
  <c r="I31" i="1" s="1"/>
  <c r="H30" i="1"/>
  <c r="H18" i="1"/>
  <c r="E20" i="1"/>
  <c r="E30" i="1" s="1"/>
  <c r="E19" i="1"/>
  <c r="E28" i="1" s="1"/>
  <c r="E18" i="1"/>
  <c r="H28" i="1"/>
  <c r="I28" i="1"/>
  <c r="G13" i="1"/>
  <c r="G20" i="1" s="1"/>
  <c r="G30" i="1" s="1"/>
  <c r="G12" i="1"/>
  <c r="G11" i="1"/>
  <c r="F13" i="1"/>
  <c r="F20" i="1" s="1"/>
  <c r="F30" i="1" s="1"/>
  <c r="F12" i="1"/>
  <c r="F11" i="1"/>
  <c r="G28" i="1" l="1"/>
  <c r="F18" i="1"/>
  <c r="F19" i="1"/>
  <c r="F28" i="1" s="1"/>
  <c r="I25" i="1"/>
  <c r="H25" i="1"/>
  <c r="H31" i="1" s="1"/>
  <c r="G25" i="1"/>
  <c r="G31" i="1" s="1"/>
  <c r="F25" i="1"/>
  <c r="E25" i="1"/>
  <c r="E31" i="1" s="1"/>
  <c r="D25" i="1"/>
  <c r="C25" i="1"/>
  <c r="I24" i="1"/>
  <c r="H24" i="1"/>
  <c r="G24" i="1"/>
  <c r="F24" i="1"/>
  <c r="E24" i="1"/>
  <c r="D24" i="1"/>
  <c r="C24" i="1"/>
  <c r="I17" i="1"/>
  <c r="H17" i="1"/>
  <c r="G17" i="1"/>
  <c r="F17" i="1"/>
  <c r="E17" i="1"/>
  <c r="D17" i="1"/>
  <c r="C17" i="1"/>
  <c r="I10" i="1"/>
  <c r="H10" i="1"/>
  <c r="G10" i="1"/>
  <c r="F10" i="1"/>
  <c r="E10" i="1"/>
  <c r="D10" i="1"/>
  <c r="C10" i="1"/>
  <c r="I3" i="1"/>
  <c r="H3" i="1"/>
  <c r="G3" i="1"/>
  <c r="F3" i="1"/>
  <c r="E3" i="1"/>
  <c r="D3" i="1"/>
  <c r="C3" i="1"/>
  <c r="D12" i="6"/>
  <c r="G26" i="1"/>
  <c r="F26" i="1"/>
  <c r="E26" i="1"/>
  <c r="D13" i="1"/>
  <c r="D20" i="1" s="1"/>
  <c r="D30" i="1" s="1"/>
  <c r="D12" i="1"/>
  <c r="D19" i="1" s="1"/>
  <c r="D28" i="1" s="1"/>
  <c r="D11" i="1"/>
  <c r="D18" i="1" s="1"/>
  <c r="D26" i="1" s="1"/>
  <c r="C13" i="1"/>
  <c r="C20" i="1" s="1"/>
  <c r="C12" i="1"/>
  <c r="C19" i="1" s="1"/>
  <c r="C28" i="1" s="1"/>
  <c r="C11" i="1"/>
  <c r="C18" i="1" s="1"/>
  <c r="C26" i="1" s="1"/>
  <c r="F31" i="1" l="1"/>
  <c r="F29" i="1"/>
  <c r="D31" i="1"/>
  <c r="C30" i="1"/>
  <c r="C31" i="1" s="1"/>
  <c r="G27" i="1"/>
  <c r="C27" i="1"/>
  <c r="C29" i="1"/>
  <c r="G29" i="1"/>
  <c r="D27" i="1"/>
  <c r="D29" i="1"/>
  <c r="E27" i="1"/>
  <c r="E29" i="1"/>
  <c r="F27" i="1"/>
  <c r="J25" i="1"/>
  <c r="I29" i="1"/>
  <c r="H26" i="1"/>
  <c r="H27" i="1" s="1"/>
  <c r="I26" i="1"/>
  <c r="I27" i="1" s="1"/>
  <c r="H29" i="1"/>
  <c r="J27" i="1" l="1"/>
  <c r="J29" i="1"/>
  <c r="J31" i="1" l="1"/>
</calcChain>
</file>

<file path=xl/sharedStrings.xml><?xml version="1.0" encoding="utf-8"?>
<sst xmlns="http://schemas.openxmlformats.org/spreadsheetml/2006/main" count="42" uniqueCount="28">
  <si>
    <t>Alternative 1</t>
  </si>
  <si>
    <t>Alternative 2</t>
  </si>
  <si>
    <t>Alternative 3</t>
  </si>
  <si>
    <t>Table 1. Original Decision Matrix</t>
  </si>
  <si>
    <t>Table 2. Transformed Decision Matrix</t>
  </si>
  <si>
    <t>Criteria</t>
  </si>
  <si>
    <t>Weightings %</t>
  </si>
  <si>
    <t>TOTAL</t>
  </si>
  <si>
    <t>Table 4. Weighting</t>
  </si>
  <si>
    <t>Product</t>
  </si>
  <si>
    <t>MaxValue</t>
  </si>
  <si>
    <t>Description</t>
  </si>
  <si>
    <t>Weight %</t>
  </si>
  <si>
    <t>Total</t>
  </si>
  <si>
    <t>Table 5. Weighted Product Matrix</t>
  </si>
  <si>
    <t>Table 3. Normalized Criteria Matrix (By Percent of Maximum)</t>
  </si>
  <si>
    <t>Project First Cost ($ billions)</t>
  </si>
  <si>
    <t>Average Annual Deliveries to State at Holthouse</t>
  </si>
  <si>
    <t>(AF/YR)</t>
  </si>
  <si>
    <t>Average Annual Deliveries to PWAs at Holthouse (AF/YR)</t>
  </si>
  <si>
    <t>Total Cost per AF Delivered at Holthouse ($)</t>
  </si>
  <si>
    <t>Permittability</t>
  </si>
  <si>
    <t>Acceptability to local entities</t>
  </si>
  <si>
    <t>High = 3, Medium = 2, Low = 1</t>
  </si>
  <si>
    <t>Risk and Uncertainty</t>
  </si>
  <si>
    <t>High = 1, Medium = 2, Low = 3</t>
  </si>
  <si>
    <t>From Value Planning</t>
  </si>
  <si>
    <t>From Affordability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</si>
</sst>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9" formatCode="0.000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3E4143"/>
      <name val="Arial Narrow"/>
      <family val="2"/>
    </font>
    <font>
      <sz val="9"/>
      <color rgb="FF3E4143"/>
      <name val="Arial Narrow"/>
      <family val="2"/>
    </font>
    <font>
      <b/>
      <sz val="9"/>
      <color rgb="FF0070C0"/>
      <name val="Arial Narrow"/>
      <family val="2"/>
    </font>
    <font>
      <sz val="9"/>
      <color theme="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FDFDB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rgb="FF54585A"/>
      </top>
      <bottom style="medium">
        <color rgb="FF54585A"/>
      </bottom>
      <diagonal/>
    </border>
    <border>
      <left/>
      <right style="medium">
        <color rgb="FF969B9D"/>
      </right>
      <top/>
      <bottom/>
      <diagonal/>
    </border>
    <border>
      <left/>
      <right/>
      <top style="medium">
        <color rgb="FF54585A"/>
      </top>
      <bottom/>
      <diagonal/>
    </border>
    <border>
      <left/>
      <right/>
      <top style="thin">
        <color rgb="FF54585A"/>
      </top>
      <bottom style="medium">
        <color rgb="FF54585A"/>
      </bottom>
      <diagonal/>
    </border>
    <border>
      <left style="medium">
        <color rgb="FF969B9D"/>
      </left>
      <right/>
      <top style="medium">
        <color rgb="FF54585A"/>
      </top>
      <bottom/>
      <diagonal/>
    </border>
    <border>
      <left style="medium">
        <color rgb="FF969B9D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0" xfId="0" applyFont="1"/>
    <xf numFmtId="0" fontId="2" fillId="0" borderId="2" xfId="0" applyFont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0" fontId="4" fillId="2" borderId="0" xfId="0" applyNumberFormat="1" applyFont="1" applyFill="1" applyAlignment="1">
      <alignment horizontal="center" vertical="center" wrapText="1"/>
    </xf>
    <xf numFmtId="10" fontId="4" fillId="0" borderId="0" xfId="0" applyNumberFormat="1" applyFont="1" applyAlignment="1">
      <alignment horizontal="center" vertical="center" wrapText="1"/>
    </xf>
    <xf numFmtId="10" fontId="0" fillId="0" borderId="0" xfId="0" applyNumberFormat="1"/>
    <xf numFmtId="0" fontId="2" fillId="2" borderId="2" xfId="0" applyFont="1" applyFill="1" applyBorder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10" fontId="2" fillId="0" borderId="4" xfId="0" applyNumberFormat="1" applyFont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5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1" fontId="3" fillId="2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169" fontId="3" fillId="2" borderId="2" xfId="0" applyNumberFormat="1" applyFont="1" applyFill="1" applyBorder="1" applyAlignment="1">
      <alignment horizontal="center" vertical="center" wrapText="1"/>
    </xf>
    <xf numFmtId="169" fontId="3" fillId="0" borderId="2" xfId="0" applyNumberFormat="1" applyFont="1" applyBorder="1" applyAlignment="1">
      <alignment horizontal="center" vertical="center" wrapText="1"/>
    </xf>
    <xf numFmtId="3" fontId="4" fillId="2" borderId="0" xfId="0" applyNumberFormat="1" applyFont="1" applyFill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2"/>
  <sheetViews>
    <sheetView tabSelected="1" zoomScale="130" zoomScaleNormal="130" workbookViewId="0">
      <selection activeCell="D27" sqref="D27"/>
    </sheetView>
  </sheetViews>
  <sheetFormatPr defaultRowHeight="14.5" x14ac:dyDescent="0.35"/>
  <cols>
    <col min="1" max="1" width="4.7265625" customWidth="1"/>
    <col min="2" max="2" width="12.7265625" customWidth="1"/>
    <col min="3" max="6" width="10.7265625" customWidth="1"/>
    <col min="7" max="7" width="18.7265625" customWidth="1"/>
    <col min="8" max="8" width="10.7265625" customWidth="1"/>
    <col min="9" max="9" width="12.7265625" customWidth="1"/>
    <col min="12" max="12" width="13.81640625" bestFit="1" customWidth="1"/>
  </cols>
  <sheetData>
    <row r="1" spans="2:17" ht="15" customHeight="1" x14ac:dyDescent="0.35">
      <c r="P1" t="s">
        <v>10</v>
      </c>
      <c r="Q1">
        <v>3</v>
      </c>
    </row>
    <row r="2" spans="2:17" ht="15" customHeight="1" thickBot="1" x14ac:dyDescent="0.4">
      <c r="B2" s="5" t="s">
        <v>3</v>
      </c>
    </row>
    <row r="3" spans="2:17" ht="40" customHeight="1" thickBot="1" x14ac:dyDescent="0.4">
      <c r="B3" s="1"/>
      <c r="C3" s="2" t="str">
        <f>'Table 4 Weighting'!$B$5</f>
        <v>Permittability</v>
      </c>
      <c r="D3" s="2" t="str">
        <f>'Table 4 Weighting'!$B$6</f>
        <v>Acceptability to local entities</v>
      </c>
      <c r="E3" s="2" t="str">
        <f>'Table 4 Weighting'!$B$7</f>
        <v>Risk and Uncertainty</v>
      </c>
      <c r="F3" s="2" t="str">
        <f>'Table 4 Weighting'!$B$8</f>
        <v>Project First Cost ($ billions)</v>
      </c>
      <c r="G3" s="2" t="str">
        <f>'Table 4 Weighting'!$B$9</f>
        <v>Total Cost per AF Delivered at Holthouse ($)</v>
      </c>
      <c r="H3" s="2" t="str">
        <f>'Table 4 Weighting'!$B$10</f>
        <v>Average Annual Deliveries to PWAs at Holthouse (AF/YR)</v>
      </c>
      <c r="I3" s="2" t="str">
        <f>'Table 4 Weighting'!$B$11</f>
        <v>Average Annual Deliveries to State at Holthouse</v>
      </c>
    </row>
    <row r="4" spans="2:17" ht="15" customHeight="1" x14ac:dyDescent="0.35">
      <c r="B4" s="3" t="s">
        <v>0</v>
      </c>
      <c r="C4" s="15">
        <v>1</v>
      </c>
      <c r="D4" s="15">
        <v>1</v>
      </c>
      <c r="E4" s="15">
        <v>3</v>
      </c>
      <c r="F4" s="15">
        <v>4.5</v>
      </c>
      <c r="G4" s="15">
        <v>990</v>
      </c>
      <c r="H4" s="37">
        <v>178100</v>
      </c>
      <c r="I4" s="41">
        <v>25000</v>
      </c>
    </row>
    <row r="5" spans="2:17" ht="15" customHeight="1" x14ac:dyDescent="0.35">
      <c r="B5" s="4" t="s">
        <v>1</v>
      </c>
      <c r="C5" s="16">
        <v>2</v>
      </c>
      <c r="D5" s="16">
        <v>2</v>
      </c>
      <c r="E5" s="16">
        <v>2</v>
      </c>
      <c r="F5" s="16">
        <v>4</v>
      </c>
      <c r="G5" s="16">
        <v>860</v>
      </c>
      <c r="H5" s="38">
        <v>175300</v>
      </c>
      <c r="I5" s="42">
        <v>29000</v>
      </c>
    </row>
    <row r="6" spans="2:17" ht="15" customHeight="1" x14ac:dyDescent="0.35">
      <c r="B6" s="3" t="s">
        <v>2</v>
      </c>
      <c r="C6" s="15">
        <v>3</v>
      </c>
      <c r="D6" s="15">
        <v>3</v>
      </c>
      <c r="E6" s="15">
        <v>1</v>
      </c>
      <c r="F6" s="15">
        <v>3.5</v>
      </c>
      <c r="G6" s="15">
        <v>740</v>
      </c>
      <c r="H6" s="37">
        <v>171800</v>
      </c>
      <c r="I6" s="41">
        <v>33000</v>
      </c>
    </row>
    <row r="9" spans="2:17" ht="15" thickBot="1" x14ac:dyDescent="0.4">
      <c r="B9" s="5" t="s">
        <v>4</v>
      </c>
    </row>
    <row r="10" spans="2:17" ht="35" thickBot="1" x14ac:dyDescent="0.4">
      <c r="B10" s="1"/>
      <c r="C10" s="2" t="str">
        <f>'Table 4 Weighting'!$B$5</f>
        <v>Permittability</v>
      </c>
      <c r="D10" s="2" t="str">
        <f>'Table 4 Weighting'!$B$6</f>
        <v>Acceptability to local entities</v>
      </c>
      <c r="E10" s="2" t="str">
        <f>'Table 4 Weighting'!$B$7</f>
        <v>Risk and Uncertainty</v>
      </c>
      <c r="F10" s="2" t="str">
        <f>'Table 4 Weighting'!$B$8</f>
        <v>Project First Cost ($ billions)</v>
      </c>
      <c r="G10" s="2" t="str">
        <f>'Table 4 Weighting'!$B$9</f>
        <v>Total Cost per AF Delivered at Holthouse ($)</v>
      </c>
      <c r="H10" s="2" t="str">
        <f>'Table 4 Weighting'!$B$10</f>
        <v>Average Annual Deliveries to PWAs at Holthouse (AF/YR)</v>
      </c>
      <c r="I10" s="2" t="str">
        <f>'Table 4 Weighting'!$B$11</f>
        <v>Average Annual Deliveries to State at Holthouse</v>
      </c>
    </row>
    <row r="11" spans="2:17" x14ac:dyDescent="0.35">
      <c r="B11" s="3" t="s">
        <v>0</v>
      </c>
      <c r="C11" s="7">
        <f>VLOOKUP($B11,$B$3:$I$6,2,FALSE)</f>
        <v>1</v>
      </c>
      <c r="D11" s="7">
        <f>VLOOKUP($B11,$B$3:$I$6,3,FALSE)</f>
        <v>1</v>
      </c>
      <c r="E11" s="7">
        <v>3</v>
      </c>
      <c r="F11" s="9">
        <f t="shared" ref="F11:G13" si="0">1/F4</f>
        <v>0.22222222222222221</v>
      </c>
      <c r="G11" s="39">
        <f t="shared" si="0"/>
        <v>1.0101010101010101E-3</v>
      </c>
      <c r="H11" s="32">
        <v>178100</v>
      </c>
      <c r="I11" s="33">
        <v>25000</v>
      </c>
    </row>
    <row r="12" spans="2:17" x14ac:dyDescent="0.35">
      <c r="B12" s="4" t="s">
        <v>1</v>
      </c>
      <c r="C12" s="8">
        <f>VLOOKUP($B12,$B$3:$I$6,2,FALSE)</f>
        <v>2</v>
      </c>
      <c r="D12" s="8">
        <f>VLOOKUP($B12,$B$3:$I$6,3,FALSE)</f>
        <v>2</v>
      </c>
      <c r="E12" s="31">
        <v>2</v>
      </c>
      <c r="F12" s="10">
        <f t="shared" si="0"/>
        <v>0.25</v>
      </c>
      <c r="G12" s="40">
        <f t="shared" si="0"/>
        <v>1.1627906976744186E-3</v>
      </c>
      <c r="H12" s="31">
        <v>175300</v>
      </c>
      <c r="I12" s="34">
        <v>29000</v>
      </c>
    </row>
    <row r="13" spans="2:17" x14ac:dyDescent="0.35">
      <c r="B13" s="3" t="s">
        <v>2</v>
      </c>
      <c r="C13" s="7">
        <f>VLOOKUP($B13,$B$3:$I$6,2,FALSE)</f>
        <v>3</v>
      </c>
      <c r="D13" s="7">
        <f>VLOOKUP($B13,$B$3:$I$6,3,FALSE)</f>
        <v>3</v>
      </c>
      <c r="E13" s="7">
        <v>1</v>
      </c>
      <c r="F13" s="9">
        <f t="shared" si="0"/>
        <v>0.2857142857142857</v>
      </c>
      <c r="G13" s="39">
        <f t="shared" si="0"/>
        <v>1.3513513513513514E-3</v>
      </c>
      <c r="H13" s="32">
        <v>171800</v>
      </c>
      <c r="I13" s="35">
        <v>33000</v>
      </c>
    </row>
    <row r="16" spans="2:17" ht="15" thickBot="1" x14ac:dyDescent="0.4">
      <c r="B16" s="5" t="s">
        <v>15</v>
      </c>
    </row>
    <row r="17" spans="2:10" ht="58" thickBot="1" x14ac:dyDescent="0.4">
      <c r="B17" s="1"/>
      <c r="C17" s="2" t="str">
        <f>'Table 4 Weighting'!$B$5</f>
        <v>Permittability</v>
      </c>
      <c r="D17" s="2" t="str">
        <f>'Table 4 Weighting'!$B$6</f>
        <v>Acceptability to local entities</v>
      </c>
      <c r="E17" s="2" t="str">
        <f>'Table 4 Weighting'!$B$7</f>
        <v>Risk and Uncertainty</v>
      </c>
      <c r="F17" s="2" t="str">
        <f>'Table 4 Weighting'!$B$8</f>
        <v>Project First Cost ($ billions)</v>
      </c>
      <c r="G17" s="2" t="str">
        <f>'Table 4 Weighting'!$B$9</f>
        <v>Total Cost per AF Delivered at Holthouse ($)</v>
      </c>
      <c r="H17" s="2" t="str">
        <f>'Table 4 Weighting'!$B$10</f>
        <v>Average Annual Deliveries to PWAs at Holthouse (AF/YR)</v>
      </c>
      <c r="I17" s="2" t="str">
        <f>'Table 4 Weighting'!$B$11</f>
        <v>Average Annual Deliveries to State at Holthouse</v>
      </c>
    </row>
    <row r="18" spans="2:10" x14ac:dyDescent="0.35">
      <c r="B18" s="3" t="s">
        <v>0</v>
      </c>
      <c r="C18" s="11">
        <f>VLOOKUP($B18,$B$10:$I$13,2,FALSE)/MaxValue</f>
        <v>0.33333333333333331</v>
      </c>
      <c r="D18" s="11">
        <f>VLOOKUP($B18,$B$10:$I$13,3,FALSE)/MaxValue</f>
        <v>0.33333333333333331</v>
      </c>
      <c r="E18" s="11">
        <f>E11/E12</f>
        <v>1.5</v>
      </c>
      <c r="F18" s="11">
        <f>F11/F13</f>
        <v>0.77777777777777779</v>
      </c>
      <c r="G18" s="9">
        <f>G11/G13</f>
        <v>0.7474747474747474</v>
      </c>
      <c r="H18" s="9">
        <f>H11/H11</f>
        <v>1</v>
      </c>
      <c r="I18" s="25">
        <f>I11/I13</f>
        <v>0.75757575757575757</v>
      </c>
    </row>
    <row r="19" spans="2:10" x14ac:dyDescent="0.35">
      <c r="B19" s="4" t="s">
        <v>1</v>
      </c>
      <c r="C19" s="12">
        <f>VLOOKUP($B19,$B$10:$I$13,2,FALSE)/MaxValue</f>
        <v>0.66666666666666663</v>
      </c>
      <c r="D19" s="12">
        <f>VLOOKUP($B19,$B$10:$I$13,3,FALSE)/MaxValue</f>
        <v>0.66666666666666663</v>
      </c>
      <c r="E19" s="12">
        <f>E12/E12</f>
        <v>1</v>
      </c>
      <c r="F19" s="12">
        <f>F12/F13</f>
        <v>0.875</v>
      </c>
      <c r="G19" s="10">
        <f>G12/G13</f>
        <v>0.86046511627906974</v>
      </c>
      <c r="H19" s="10">
        <f>H12/H11</f>
        <v>0.9842784952274003</v>
      </c>
      <c r="I19" s="26">
        <f>I12/I13</f>
        <v>0.87878787878787878</v>
      </c>
    </row>
    <row r="20" spans="2:10" x14ac:dyDescent="0.35">
      <c r="B20" s="3" t="s">
        <v>2</v>
      </c>
      <c r="C20" s="11">
        <f>VLOOKUP($B20,$B$10:$I$13,2,FALSE)/MaxValue</f>
        <v>1</v>
      </c>
      <c r="D20" s="11">
        <f>VLOOKUP($B20,$B$10:$I$13,3,FALSE)/MaxValue</f>
        <v>1</v>
      </c>
      <c r="E20" s="11">
        <f>E13/E12</f>
        <v>0.5</v>
      </c>
      <c r="F20" s="11">
        <f>F13/F13</f>
        <v>1</v>
      </c>
      <c r="G20" s="9">
        <f>G13/G13</f>
        <v>1</v>
      </c>
      <c r="H20" s="9">
        <f>H13/H11</f>
        <v>0.96462661426165075</v>
      </c>
      <c r="I20" s="27">
        <f>I13/I13</f>
        <v>1</v>
      </c>
    </row>
    <row r="23" spans="2:10" ht="15" thickBot="1" x14ac:dyDescent="0.4">
      <c r="B23" s="5" t="s">
        <v>14</v>
      </c>
    </row>
    <row r="24" spans="2:10" ht="57.5" x14ac:dyDescent="0.35">
      <c r="B24" s="21"/>
      <c r="C24" s="22" t="str">
        <f>'Table 4 Weighting'!$B$5</f>
        <v>Permittability</v>
      </c>
      <c r="D24" s="22" t="str">
        <f>'Table 4 Weighting'!$B$6</f>
        <v>Acceptability to local entities</v>
      </c>
      <c r="E24" s="22" t="str">
        <f>'Table 4 Weighting'!$B$7</f>
        <v>Risk and Uncertainty</v>
      </c>
      <c r="F24" s="22" t="str">
        <f>'Table 4 Weighting'!$B$8</f>
        <v>Project First Cost ($ billions)</v>
      </c>
      <c r="G24" s="22" t="str">
        <f>'Table 4 Weighting'!$B$9</f>
        <v>Total Cost per AF Delivered at Holthouse ($)</v>
      </c>
      <c r="H24" s="22" t="str">
        <f>'Table 4 Weighting'!$B$10</f>
        <v>Average Annual Deliveries to PWAs at Holthouse (AF/YR)</v>
      </c>
      <c r="I24" s="22" t="str">
        <f>'Table 4 Weighting'!$B$11</f>
        <v>Average Annual Deliveries to State at Holthouse</v>
      </c>
      <c r="J24" s="22" t="s">
        <v>13</v>
      </c>
    </row>
    <row r="25" spans="2:10" ht="15" thickBot="1" x14ac:dyDescent="0.4">
      <c r="B25" s="23" t="s">
        <v>12</v>
      </c>
      <c r="C25" s="24">
        <f>'Table 4 Weighting'!D5</f>
        <v>0.2</v>
      </c>
      <c r="D25" s="24">
        <f>'Table 4 Weighting'!D6</f>
        <v>0.02</v>
      </c>
      <c r="E25" s="24">
        <f>'Table 4 Weighting'!D7</f>
        <v>0.08</v>
      </c>
      <c r="F25" s="24">
        <f>'Table 4 Weighting'!D8</f>
        <v>0.1</v>
      </c>
      <c r="G25" s="24">
        <f>'Table 4 Weighting'!D9</f>
        <v>0.4</v>
      </c>
      <c r="H25" s="24">
        <f>'Table 4 Weighting'!D10</f>
        <v>0.1</v>
      </c>
      <c r="I25" s="24">
        <f>'Table 4 Weighting'!D11</f>
        <v>0.1</v>
      </c>
      <c r="J25" s="24">
        <f>SUM(C25:I25)</f>
        <v>1</v>
      </c>
    </row>
    <row r="26" spans="2:10" x14ac:dyDescent="0.35">
      <c r="B26" s="3" t="s">
        <v>0</v>
      </c>
      <c r="C26" s="11">
        <f>VLOOKUP($B26,$B$17:$I$20,2,FALSE)</f>
        <v>0.33333333333333331</v>
      </c>
      <c r="D26" s="11">
        <f>VLOOKUP($B26,$B$17:$I$20,3,FALSE)</f>
        <v>0.33333333333333331</v>
      </c>
      <c r="E26" s="11">
        <f>VLOOKUP($B26,$B$17:$I$20,4,FALSE)</f>
        <v>1.5</v>
      </c>
      <c r="F26" s="11">
        <f>VLOOKUP($B26,$B$17:$I$20,5,FALSE)</f>
        <v>0.77777777777777779</v>
      </c>
      <c r="G26" s="9">
        <f>VLOOKUP($B26,$B$17:$I$20,6,FALSE)</f>
        <v>0.7474747474747474</v>
      </c>
      <c r="H26" s="9">
        <f>VLOOKUP($B26,$B$17:$I$20,7,FALSE)</f>
        <v>1</v>
      </c>
      <c r="I26" s="9">
        <f>VLOOKUP($B26,$B$17:$I$20,8,FALSE)</f>
        <v>0.75757575757575757</v>
      </c>
      <c r="J26" s="25"/>
    </row>
    <row r="27" spans="2:10" x14ac:dyDescent="0.35">
      <c r="B27" s="20" t="s">
        <v>9</v>
      </c>
      <c r="C27" s="9">
        <f>C25*C26</f>
        <v>6.6666666666666666E-2</v>
      </c>
      <c r="D27" s="9">
        <f t="shared" ref="D27:I27" si="1">D25*D26</f>
        <v>6.6666666666666662E-3</v>
      </c>
      <c r="E27" s="9">
        <f t="shared" si="1"/>
        <v>0.12</v>
      </c>
      <c r="F27" s="9">
        <f t="shared" si="1"/>
        <v>7.7777777777777779E-2</v>
      </c>
      <c r="G27" s="9">
        <f t="shared" si="1"/>
        <v>0.29898989898989897</v>
      </c>
      <c r="H27" s="9">
        <f t="shared" si="1"/>
        <v>0.1</v>
      </c>
      <c r="I27" s="9">
        <f t="shared" si="1"/>
        <v>7.575757575757576E-2</v>
      </c>
      <c r="J27" s="28">
        <f>SUM(C27:I27)</f>
        <v>0.74585858585858578</v>
      </c>
    </row>
    <row r="28" spans="2:10" x14ac:dyDescent="0.35">
      <c r="B28" s="4" t="s">
        <v>1</v>
      </c>
      <c r="C28" s="12">
        <f t="shared" ref="C28:I28" si="2">C19</f>
        <v>0.66666666666666663</v>
      </c>
      <c r="D28" s="12">
        <f t="shared" si="2"/>
        <v>0.66666666666666663</v>
      </c>
      <c r="E28" s="12">
        <f t="shared" si="2"/>
        <v>1</v>
      </c>
      <c r="F28" s="12">
        <f t="shared" si="2"/>
        <v>0.875</v>
      </c>
      <c r="G28" s="10">
        <f t="shared" si="2"/>
        <v>0.86046511627906974</v>
      </c>
      <c r="H28" s="10">
        <f t="shared" si="2"/>
        <v>0.9842784952274003</v>
      </c>
      <c r="I28" s="10">
        <f t="shared" si="2"/>
        <v>0.87878787878787878</v>
      </c>
      <c r="J28" s="29"/>
    </row>
    <row r="29" spans="2:10" x14ac:dyDescent="0.35">
      <c r="B29" s="6" t="s">
        <v>9</v>
      </c>
      <c r="C29" s="10">
        <f>C25*C28</f>
        <v>0.13333333333333333</v>
      </c>
      <c r="D29" s="10">
        <f t="shared" ref="D29:I29" si="3">D25*D28</f>
        <v>1.3333333333333332E-2</v>
      </c>
      <c r="E29" s="10">
        <f t="shared" si="3"/>
        <v>0.08</v>
      </c>
      <c r="F29" s="10">
        <f>F25*F28</f>
        <v>8.7500000000000008E-2</v>
      </c>
      <c r="G29" s="10">
        <f t="shared" si="3"/>
        <v>0.34418604651162793</v>
      </c>
      <c r="H29" s="10">
        <f t="shared" si="3"/>
        <v>9.842784952274003E-2</v>
      </c>
      <c r="I29" s="10">
        <f t="shared" si="3"/>
        <v>8.787878787878789E-2</v>
      </c>
      <c r="J29" s="29">
        <f>SUM(C29:I29)</f>
        <v>0.84465935057982255</v>
      </c>
    </row>
    <row r="30" spans="2:10" x14ac:dyDescent="0.35">
      <c r="B30" s="3" t="s">
        <v>2</v>
      </c>
      <c r="C30" s="11">
        <f>D30</f>
        <v>1</v>
      </c>
      <c r="D30" s="11">
        <f t="shared" ref="D30:I30" si="4">D20</f>
        <v>1</v>
      </c>
      <c r="E30" s="11">
        <f t="shared" si="4"/>
        <v>0.5</v>
      </c>
      <c r="F30" s="11">
        <f t="shared" si="4"/>
        <v>1</v>
      </c>
      <c r="G30" s="9">
        <f t="shared" si="4"/>
        <v>1</v>
      </c>
      <c r="H30" s="9">
        <f t="shared" si="4"/>
        <v>0.96462661426165075</v>
      </c>
      <c r="I30" s="9">
        <f t="shared" si="4"/>
        <v>1</v>
      </c>
      <c r="J30" s="27"/>
    </row>
    <row r="31" spans="2:10" x14ac:dyDescent="0.35">
      <c r="B31" s="20" t="s">
        <v>9</v>
      </c>
      <c r="C31" s="9">
        <f t="shared" ref="C31:I31" si="5">C25*C30</f>
        <v>0.2</v>
      </c>
      <c r="D31" s="9">
        <f t="shared" si="5"/>
        <v>0.02</v>
      </c>
      <c r="E31" s="9">
        <f t="shared" si="5"/>
        <v>0.04</v>
      </c>
      <c r="F31" s="9">
        <f t="shared" si="5"/>
        <v>0.1</v>
      </c>
      <c r="G31" s="9">
        <f t="shared" si="5"/>
        <v>0.4</v>
      </c>
      <c r="H31" s="9">
        <f t="shared" si="5"/>
        <v>9.6462661426165081E-2</v>
      </c>
      <c r="I31" s="9">
        <f t="shared" si="5"/>
        <v>0.1</v>
      </c>
      <c r="J31" s="28">
        <f>SUM(C31:I31)</f>
        <v>0.95646266142616509</v>
      </c>
    </row>
    <row r="32" spans="2:10" x14ac:dyDescent="0.35">
      <c r="C32" s="30"/>
    </row>
  </sheetData>
  <pageMargins left="0.7" right="0.7" top="0.75" bottom="0.75" header="0.3" footer="0.3"/>
  <pageSetup scale="87" orientation="portrait" r:id="rId1"/>
  <colBreaks count="1" manualBreakCount="1">
    <brk id="10" max="1048575" man="1"/>
  </colBreaks>
  <ignoredErrors>
    <ignoredError sqref="C27:I27 C29:E29 G29:I2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topLeftCell="B1" zoomScale="115" zoomScaleNormal="115" zoomScaleSheetLayoutView="150" workbookViewId="0">
      <selection activeCell="F7" sqref="F7"/>
    </sheetView>
  </sheetViews>
  <sheetFormatPr defaultRowHeight="14.5" x14ac:dyDescent="0.35"/>
  <cols>
    <col min="1" max="1" width="4.1796875" customWidth="1"/>
    <col min="2" max="2" width="34.1796875" customWidth="1"/>
    <col min="3" max="3" width="52.7265625" customWidth="1"/>
  </cols>
  <sheetData>
    <row r="2" spans="2:4" x14ac:dyDescent="0.35">
      <c r="B2" s="5" t="s">
        <v>8</v>
      </c>
    </row>
    <row r="3" spans="2:4" ht="15" thickBot="1" x14ac:dyDescent="0.4"/>
    <row r="4" spans="2:4" ht="23.5" thickBot="1" x14ac:dyDescent="0.4">
      <c r="B4" s="1" t="s">
        <v>5</v>
      </c>
      <c r="C4" s="1" t="s">
        <v>11</v>
      </c>
      <c r="D4" s="2" t="s">
        <v>6</v>
      </c>
    </row>
    <row r="5" spans="2:4" ht="22.5" customHeight="1" x14ac:dyDescent="0.35">
      <c r="B5" s="14" t="s">
        <v>21</v>
      </c>
      <c r="C5" s="13" t="s">
        <v>23</v>
      </c>
      <c r="D5" s="17">
        <v>0.2</v>
      </c>
    </row>
    <row r="6" spans="2:4" ht="18.75" customHeight="1" x14ac:dyDescent="0.35">
      <c r="B6" s="14" t="s">
        <v>22</v>
      </c>
      <c r="C6" s="14" t="s">
        <v>23</v>
      </c>
      <c r="D6" s="18">
        <v>0.02</v>
      </c>
    </row>
    <row r="7" spans="2:4" ht="21" customHeight="1" x14ac:dyDescent="0.35">
      <c r="B7" s="13" t="s">
        <v>24</v>
      </c>
      <c r="C7" s="13" t="s">
        <v>25</v>
      </c>
      <c r="D7" s="17">
        <v>0.08</v>
      </c>
    </row>
    <row r="8" spans="2:4" ht="21" customHeight="1" x14ac:dyDescent="0.35">
      <c r="B8" s="14" t="s">
        <v>16</v>
      </c>
      <c r="C8" s="14" t="s">
        <v>26</v>
      </c>
      <c r="D8" s="18">
        <v>0.1</v>
      </c>
    </row>
    <row r="9" spans="2:4" ht="15.75" customHeight="1" x14ac:dyDescent="0.35">
      <c r="B9" s="13" t="s">
        <v>20</v>
      </c>
      <c r="C9" s="13" t="s">
        <v>27</v>
      </c>
      <c r="D9" s="17">
        <v>0.4</v>
      </c>
    </row>
    <row r="10" spans="2:4" ht="22.5" customHeight="1" x14ac:dyDescent="0.35">
      <c r="B10" s="14" t="s">
        <v>19</v>
      </c>
      <c r="C10" s="14" t="s">
        <v>27</v>
      </c>
      <c r="D10" s="18">
        <v>0.1</v>
      </c>
    </row>
    <row r="11" spans="2:4" ht="16.5" customHeight="1" x14ac:dyDescent="0.35">
      <c r="B11" s="13" t="s">
        <v>17</v>
      </c>
      <c r="C11" s="13" t="s">
        <v>27</v>
      </c>
      <c r="D11" s="17">
        <v>0.1</v>
      </c>
    </row>
    <row r="12" spans="2:4" x14ac:dyDescent="0.35">
      <c r="B12" s="36" t="s">
        <v>18</v>
      </c>
      <c r="C12" s="6" t="s">
        <v>7</v>
      </c>
      <c r="D12" s="19">
        <f>SUM(D5:D11)</f>
        <v>1</v>
      </c>
    </row>
  </sheetData>
  <pageMargins left="0.7" right="0.7" top="0.75" bottom="0.75" header="0.3" footer="0.3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Tables</vt:lpstr>
      <vt:lpstr>Table 4 Weighting</vt:lpstr>
      <vt:lpstr>MaxValue</vt:lpstr>
      <vt:lpstr>Tables!Print_Area</vt:lpstr>
    </vt:vector>
  </TitlesOfParts>
  <Company>HDR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mmahoney</dc:creator>
  <cp:lastModifiedBy>Frederiksen, Lee E.</cp:lastModifiedBy>
  <cp:lastPrinted>2014-10-24T20:40:35Z</cp:lastPrinted>
  <dcterms:created xsi:type="dcterms:W3CDTF">2014-10-23T16:44:48Z</dcterms:created>
  <dcterms:modified xsi:type="dcterms:W3CDTF">2019-12-02T20:32:50Z</dcterms:modified>
</cp:coreProperties>
</file>